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065" yWindow="375" windowWidth="28395" windowHeight="12315"/>
  </bookViews>
  <sheets>
    <sheet name="サスペンションモデルの計算 (減衰付)" sheetId="19" r:id="rId1"/>
    <sheet name="足回りに関する各種計算" sheetId="11" r:id="rId2"/>
  </sheets>
  <calcPr calcId="145621"/>
</workbook>
</file>

<file path=xl/calcChain.xml><?xml version="1.0" encoding="utf-8"?>
<calcChain xmlns="http://schemas.openxmlformats.org/spreadsheetml/2006/main">
  <c r="E38" i="19" l="1"/>
  <c r="F38" i="19"/>
  <c r="E37" i="19"/>
  <c r="F37" i="19"/>
  <c r="E36" i="19"/>
  <c r="F36" i="19"/>
  <c r="G36" i="19"/>
  <c r="H36" i="19"/>
  <c r="I36" i="19"/>
  <c r="I35" i="19"/>
  <c r="H35" i="19"/>
  <c r="G35" i="19"/>
  <c r="F35" i="19"/>
  <c r="E35" i="19"/>
  <c r="I34" i="19"/>
  <c r="H34" i="19"/>
  <c r="BH100" i="19"/>
  <c r="G34" i="19"/>
  <c r="BA103" i="19"/>
  <c r="I33" i="19"/>
  <c r="H33" i="19"/>
  <c r="G33" i="19"/>
  <c r="F33" i="19"/>
  <c r="E33" i="19"/>
  <c r="F32" i="19"/>
  <c r="AR70" i="19"/>
  <c r="E32" i="19"/>
  <c r="E39" i="19"/>
  <c r="BO105" i="19"/>
  <c r="AT105" i="19"/>
  <c r="AM103" i="19"/>
  <c r="BH105" i="19"/>
  <c r="BA105" i="19"/>
  <c r="AF105" i="19"/>
  <c r="BO104" i="19"/>
  <c r="BH104" i="19"/>
  <c r="BA104" i="19"/>
  <c r="AT104" i="19"/>
  <c r="AM104" i="19"/>
  <c r="AF104" i="19"/>
  <c r="BH103" i="19"/>
  <c r="AT103" i="19"/>
  <c r="AF103" i="19"/>
  <c r="BO102" i="19"/>
  <c r="BH102" i="19"/>
  <c r="BA102" i="19"/>
  <c r="AT102" i="19"/>
  <c r="AM102" i="19"/>
  <c r="AF102" i="19"/>
  <c r="BO101" i="19"/>
  <c r="BH101" i="19"/>
  <c r="BA101" i="19"/>
  <c r="AT101" i="19"/>
  <c r="AM101" i="19"/>
  <c r="AF101" i="19"/>
  <c r="BO100" i="19"/>
  <c r="BA100" i="19"/>
  <c r="AT100" i="19"/>
  <c r="AM100" i="19"/>
  <c r="AF100" i="19"/>
  <c r="BO99" i="19"/>
  <c r="BH99" i="19"/>
  <c r="BA99" i="19"/>
  <c r="AT99" i="19"/>
  <c r="AM99" i="19"/>
  <c r="AF99" i="19"/>
  <c r="BO98" i="19"/>
  <c r="BH98" i="19"/>
  <c r="BA98" i="19"/>
  <c r="AT98" i="19"/>
  <c r="AM98" i="19"/>
  <c r="AF98" i="19"/>
  <c r="BO97" i="19"/>
  <c r="BH97" i="19"/>
  <c r="BA97" i="19"/>
  <c r="AT97" i="19"/>
  <c r="AM97" i="19"/>
  <c r="AF97" i="19"/>
  <c r="BO96" i="19"/>
  <c r="BH96" i="19"/>
  <c r="BA96" i="19"/>
  <c r="AT96" i="19"/>
  <c r="AM96" i="19"/>
  <c r="AF96" i="19"/>
  <c r="BO95" i="19"/>
  <c r="BH95" i="19"/>
  <c r="BA95" i="19"/>
  <c r="AT95" i="19"/>
  <c r="AM95" i="19"/>
  <c r="AF95" i="19"/>
  <c r="BO94" i="19"/>
  <c r="BH94" i="19"/>
  <c r="BA94" i="19"/>
  <c r="AT94" i="19"/>
  <c r="AM94" i="19"/>
  <c r="AF94" i="19"/>
  <c r="BO93" i="19"/>
  <c r="BH93" i="19"/>
  <c r="BA93" i="19"/>
  <c r="AT93" i="19"/>
  <c r="AM93" i="19"/>
  <c r="AF93" i="19"/>
  <c r="BO92" i="19"/>
  <c r="BH92" i="19"/>
  <c r="BA92" i="19"/>
  <c r="AT92" i="19"/>
  <c r="AM92" i="19"/>
  <c r="AF92" i="19"/>
  <c r="BO91" i="19"/>
  <c r="BH91" i="19"/>
  <c r="BA91" i="19"/>
  <c r="AT91" i="19"/>
  <c r="AM91" i="19"/>
  <c r="AF91" i="19"/>
  <c r="BO90" i="19"/>
  <c r="BH90" i="19"/>
  <c r="BA90" i="19"/>
  <c r="AT90" i="19"/>
  <c r="AM90" i="19"/>
  <c r="AF90" i="19"/>
  <c r="BO89" i="19"/>
  <c r="BH89" i="19"/>
  <c r="BA89" i="19"/>
  <c r="AT89" i="19"/>
  <c r="AM89" i="19"/>
  <c r="AF89" i="19"/>
  <c r="BO88" i="19"/>
  <c r="BH88" i="19"/>
  <c r="BA88" i="19"/>
  <c r="AT88" i="19"/>
  <c r="AM88" i="19"/>
  <c r="AF88" i="19"/>
  <c r="BO87" i="19"/>
  <c r="BH87" i="19"/>
  <c r="BA87" i="19"/>
  <c r="AT87" i="19"/>
  <c r="AM87" i="19"/>
  <c r="AF87" i="19"/>
  <c r="BO86" i="19"/>
  <c r="BH86" i="19"/>
  <c r="BA86" i="19"/>
  <c r="AT86" i="19"/>
  <c r="AM86" i="19"/>
  <c r="AF86" i="19"/>
  <c r="BO85" i="19"/>
  <c r="BH85" i="19"/>
  <c r="BA85" i="19"/>
  <c r="AT85" i="19"/>
  <c r="AM85" i="19"/>
  <c r="AF85" i="19"/>
  <c r="BO84" i="19"/>
  <c r="BH84" i="19"/>
  <c r="BA84" i="19"/>
  <c r="AT84" i="19"/>
  <c r="AM84" i="19"/>
  <c r="AF84" i="19"/>
  <c r="BO83" i="19"/>
  <c r="BH83" i="19"/>
  <c r="BA83" i="19"/>
  <c r="AT83" i="19"/>
  <c r="AM83" i="19"/>
  <c r="AF83" i="19"/>
  <c r="BO82" i="19"/>
  <c r="BH82" i="19"/>
  <c r="BA82" i="19"/>
  <c r="AT82" i="19"/>
  <c r="AM82" i="19"/>
  <c r="AF82" i="19"/>
  <c r="BO81" i="19"/>
  <c r="BH81" i="19"/>
  <c r="BA81" i="19"/>
  <c r="AT81" i="19"/>
  <c r="AM81" i="19"/>
  <c r="AF81" i="19"/>
  <c r="BO80" i="19"/>
  <c r="BH80" i="19"/>
  <c r="BA80" i="19"/>
  <c r="AT80" i="19"/>
  <c r="AM80" i="19"/>
  <c r="AF80" i="19"/>
  <c r="BO79" i="19"/>
  <c r="BH79" i="19"/>
  <c r="BA79" i="19"/>
  <c r="AT79" i="19"/>
  <c r="AM79" i="19"/>
  <c r="AF79" i="19"/>
  <c r="BO78" i="19"/>
  <c r="BH78" i="19"/>
  <c r="BA78" i="19"/>
  <c r="AT78" i="19"/>
  <c r="AM78" i="19"/>
  <c r="AF78" i="19"/>
  <c r="BO77" i="19"/>
  <c r="BH77" i="19"/>
  <c r="BA77" i="19"/>
  <c r="AT77" i="19"/>
  <c r="AM77" i="19"/>
  <c r="AF77" i="19"/>
  <c r="BO76" i="19"/>
  <c r="BH76" i="19"/>
  <c r="BA76" i="19"/>
  <c r="AT76" i="19"/>
  <c r="AM76" i="19"/>
  <c r="AF76" i="19"/>
  <c r="BO75" i="19"/>
  <c r="BH75" i="19"/>
  <c r="BA75" i="19"/>
  <c r="AT75" i="19"/>
  <c r="AM75" i="19"/>
  <c r="AF75" i="19"/>
  <c r="BO74" i="19"/>
  <c r="BH74" i="19"/>
  <c r="BA74" i="19"/>
  <c r="AT74" i="19"/>
  <c r="AM74" i="19"/>
  <c r="AF74" i="19"/>
  <c r="BO73" i="19"/>
  <c r="BH73" i="19"/>
  <c r="BA73" i="19"/>
  <c r="AT73" i="19"/>
  <c r="AM73" i="19"/>
  <c r="AF73" i="19"/>
  <c r="BO72" i="19"/>
  <c r="BH72" i="19"/>
  <c r="BA72" i="19"/>
  <c r="AT72" i="19"/>
  <c r="AM72" i="19"/>
  <c r="AF72" i="19"/>
  <c r="BO71" i="19"/>
  <c r="BH71" i="19"/>
  <c r="BA71" i="19"/>
  <c r="AT71" i="19"/>
  <c r="AM71" i="19"/>
  <c r="AF71" i="19"/>
  <c r="BO70" i="19"/>
  <c r="BH70" i="19"/>
  <c r="BA70" i="19"/>
  <c r="AT70" i="19"/>
  <c r="AM70" i="19"/>
  <c r="AF70" i="19"/>
  <c r="BO69" i="19"/>
  <c r="BH69" i="19"/>
  <c r="BA69" i="19"/>
  <c r="AT69" i="19"/>
  <c r="AM69" i="19"/>
  <c r="AF69" i="19"/>
  <c r="BO68" i="19"/>
  <c r="BH68" i="19"/>
  <c r="BA68" i="19"/>
  <c r="AT68" i="19"/>
  <c r="AM68" i="19"/>
  <c r="AF68" i="19"/>
  <c r="BO67" i="19"/>
  <c r="BH67" i="19"/>
  <c r="BA67" i="19"/>
  <c r="AT67" i="19"/>
  <c r="AM67" i="19"/>
  <c r="AF67" i="19"/>
  <c r="BO66" i="19"/>
  <c r="BH66" i="19"/>
  <c r="BA66" i="19"/>
  <c r="AT66" i="19"/>
  <c r="AM66" i="19"/>
  <c r="AF66" i="19"/>
  <c r="BO65" i="19"/>
  <c r="BH65" i="19"/>
  <c r="BA65" i="19"/>
  <c r="AT65" i="19"/>
  <c r="AM65" i="19"/>
  <c r="AF65" i="19"/>
  <c r="BO64" i="19"/>
  <c r="BH64" i="19"/>
  <c r="BA64" i="19"/>
  <c r="AT64" i="19"/>
  <c r="AM64" i="19"/>
  <c r="AF64" i="19"/>
  <c r="BO63" i="19"/>
  <c r="BH63" i="19"/>
  <c r="BA63" i="19"/>
  <c r="AT63" i="19"/>
  <c r="AM63" i="19"/>
  <c r="AF63" i="19"/>
  <c r="BO62" i="19"/>
  <c r="BH62" i="19"/>
  <c r="BA62" i="19"/>
  <c r="AT62" i="19"/>
  <c r="AM62" i="19"/>
  <c r="AF62" i="19"/>
  <c r="BO61" i="19"/>
  <c r="BH61" i="19"/>
  <c r="BA61" i="19"/>
  <c r="AT61" i="19"/>
  <c r="AM61" i="19"/>
  <c r="AF61" i="19"/>
  <c r="BO60" i="19"/>
  <c r="BH60" i="19"/>
  <c r="BA60" i="19"/>
  <c r="AT60" i="19"/>
  <c r="AM60" i="19"/>
  <c r="AF60" i="19"/>
  <c r="BO59" i="19"/>
  <c r="BH59" i="19"/>
  <c r="BA59" i="19"/>
  <c r="AT59" i="19"/>
  <c r="AM59" i="19"/>
  <c r="AF59" i="19"/>
  <c r="BO58" i="19"/>
  <c r="BH58" i="19"/>
  <c r="BA58" i="19"/>
  <c r="AT58" i="19"/>
  <c r="AM58" i="19"/>
  <c r="AF58" i="19"/>
  <c r="BO57" i="19"/>
  <c r="BH57" i="19"/>
  <c r="BA57" i="19"/>
  <c r="AT57" i="19"/>
  <c r="AM57" i="19"/>
  <c r="AF57" i="19"/>
  <c r="A57" i="19"/>
  <c r="A58" i="19"/>
  <c r="BO56" i="19"/>
  <c r="BH56" i="19"/>
  <c r="BA56" i="19"/>
  <c r="AT56" i="19"/>
  <c r="AM56" i="19"/>
  <c r="AJ56" i="19"/>
  <c r="AL56" i="19"/>
  <c r="AI56" i="19"/>
  <c r="AF56" i="19"/>
  <c r="AD56" i="19"/>
  <c r="K56" i="19"/>
  <c r="S55" i="19"/>
  <c r="Q55" i="19"/>
  <c r="BJ54" i="19"/>
  <c r="P55" i="19"/>
  <c r="BC54" i="19"/>
  <c r="O55" i="19"/>
  <c r="W55" i="19"/>
  <c r="N55" i="19"/>
  <c r="AO54" i="19"/>
  <c r="M55" i="19"/>
  <c r="U55" i="19"/>
  <c r="L55" i="19"/>
  <c r="T55" i="19"/>
  <c r="G55" i="19"/>
  <c r="F55" i="19"/>
  <c r="E55" i="19"/>
  <c r="D55" i="19"/>
  <c r="C55" i="19"/>
  <c r="B55" i="19"/>
  <c r="AA54" i="19"/>
  <c r="Q54" i="19"/>
  <c r="P54" i="19"/>
  <c r="G54" i="19"/>
  <c r="F54" i="19"/>
  <c r="E40" i="19"/>
  <c r="D40" i="19"/>
  <c r="D39" i="19"/>
  <c r="C205" i="11"/>
  <c r="C204" i="11"/>
  <c r="O45" i="11"/>
  <c r="N42" i="11"/>
  <c r="N44" i="11"/>
  <c r="N45" i="11"/>
  <c r="O224" i="11"/>
  <c r="Q224" i="11"/>
  <c r="P226" i="11"/>
  <c r="C199" i="11"/>
  <c r="P224" i="11"/>
  <c r="E148" i="11"/>
  <c r="E150" i="11"/>
  <c r="E153" i="11"/>
  <c r="H72" i="11"/>
  <c r="H84" i="11"/>
  <c r="E83" i="11"/>
  <c r="E84" i="11"/>
  <c r="E85" i="11"/>
  <c r="E86" i="11"/>
  <c r="E87" i="11"/>
  <c r="E71" i="11"/>
  <c r="E72" i="11"/>
  <c r="E73" i="11"/>
  <c r="E74" i="11"/>
  <c r="E75" i="11"/>
  <c r="E76" i="11"/>
  <c r="E59" i="11"/>
  <c r="E60" i="11"/>
  <c r="E61" i="11"/>
  <c r="E15" i="11"/>
  <c r="E11" i="11"/>
  <c r="E13" i="11"/>
  <c r="E9" i="11"/>
  <c r="E37" i="11"/>
  <c r="G43" i="11"/>
  <c r="G42" i="11"/>
  <c r="E28" i="11"/>
  <c r="E29" i="11"/>
  <c r="E30" i="11"/>
  <c r="E31" i="11"/>
  <c r="E27" i="11"/>
  <c r="E162" i="11"/>
  <c r="E179" i="11"/>
  <c r="E180" i="11"/>
  <c r="E181" i="11"/>
  <c r="E169" i="11"/>
  <c r="E170" i="11"/>
  <c r="E171" i="11"/>
  <c r="B223" i="11"/>
  <c r="D223" i="11"/>
  <c r="C223" i="11"/>
  <c r="C225" i="11"/>
  <c r="C197" i="11"/>
  <c r="J223" i="11"/>
  <c r="L223" i="11"/>
  <c r="K225" i="11"/>
  <c r="K223" i="11"/>
  <c r="F223" i="11"/>
  <c r="H223" i="11"/>
  <c r="G225" i="11"/>
  <c r="C198" i="11"/>
  <c r="G223" i="11"/>
  <c r="E186" i="11"/>
  <c r="E187" i="11"/>
  <c r="E146" i="11"/>
  <c r="E149" i="11"/>
  <c r="E151" i="11"/>
  <c r="E96" i="11"/>
  <c r="E97" i="11"/>
  <c r="E98" i="11"/>
  <c r="E95" i="11"/>
  <c r="E99" i="11"/>
  <c r="E100" i="11"/>
  <c r="E109" i="11"/>
  <c r="E116" i="11"/>
  <c r="E117" i="11"/>
  <c r="E108" i="11"/>
  <c r="F5" i="11"/>
  <c r="G44" i="11"/>
  <c r="G45" i="11"/>
  <c r="G46" i="11"/>
  <c r="Z1" i="11"/>
  <c r="E35" i="11"/>
  <c r="E110" i="11"/>
  <c r="E111" i="11"/>
  <c r="E112" i="11"/>
  <c r="E114" i="11"/>
  <c r="E62" i="11"/>
  <c r="E63" i="11"/>
  <c r="E113" i="11"/>
  <c r="E36" i="11"/>
  <c r="E32" i="11"/>
  <c r="E33" i="11"/>
  <c r="E12" i="11"/>
  <c r="E19" i="11"/>
  <c r="E16" i="11"/>
  <c r="E14" i="11"/>
  <c r="E18" i="11"/>
  <c r="E17" i="11"/>
  <c r="A59" i="19"/>
  <c r="K58" i="19"/>
  <c r="X55" i="19"/>
  <c r="AC56" i="19"/>
  <c r="AE56" i="19"/>
  <c r="K57" i="19"/>
  <c r="AH54" i="19"/>
  <c r="AP56" i="19"/>
  <c r="AV54" i="19"/>
  <c r="S56" i="19"/>
  <c r="AB56" i="19"/>
  <c r="AK56" i="19"/>
  <c r="AA56" i="19"/>
  <c r="L56" i="19"/>
  <c r="AH56" i="19"/>
  <c r="AJ57" i="19"/>
  <c r="AL57" i="19"/>
  <c r="AI57" i="19"/>
  <c r="AP57" i="19"/>
  <c r="AD57" i="19"/>
  <c r="AC57" i="19"/>
  <c r="AE57" i="19"/>
  <c r="AK57" i="19"/>
  <c r="AB57" i="19"/>
  <c r="S57" i="19"/>
  <c r="AI58" i="19"/>
  <c r="AP58" i="19"/>
  <c r="AD58" i="19"/>
  <c r="AC58" i="19"/>
  <c r="AE58" i="19"/>
  <c r="AK58" i="19"/>
  <c r="AB58" i="19"/>
  <c r="S58" i="19"/>
  <c r="AJ58" i="19"/>
  <c r="AL58" i="19"/>
  <c r="A60" i="19"/>
  <c r="K59" i="19"/>
  <c r="L58" i="19"/>
  <c r="L57" i="19"/>
  <c r="B56" i="19"/>
  <c r="T56" i="19"/>
  <c r="AH58" i="19"/>
  <c r="AA58" i="19"/>
  <c r="AA57" i="19"/>
  <c r="AH57" i="19"/>
  <c r="AP59" i="19"/>
  <c r="AD59" i="19"/>
  <c r="AC59" i="19"/>
  <c r="AE59" i="19"/>
  <c r="AK59" i="19"/>
  <c r="AB59" i="19"/>
  <c r="S59" i="19"/>
  <c r="AJ59" i="19"/>
  <c r="AL59" i="19"/>
  <c r="AI59" i="19"/>
  <c r="A61" i="19"/>
  <c r="K60" i="19"/>
  <c r="L59" i="19"/>
  <c r="B57" i="19"/>
  <c r="T57" i="19"/>
  <c r="A62" i="19"/>
  <c r="K61" i="19"/>
  <c r="AP60" i="19"/>
  <c r="AD60" i="19"/>
  <c r="AC60" i="19"/>
  <c r="AE60" i="19"/>
  <c r="AK60" i="19"/>
  <c r="AB60" i="19"/>
  <c r="S60" i="19"/>
  <c r="AJ60" i="19"/>
  <c r="AL60" i="19"/>
  <c r="AI60" i="19"/>
  <c r="AH59" i="19"/>
  <c r="AA59" i="19"/>
  <c r="B58" i="19"/>
  <c r="T58" i="19"/>
  <c r="AA60" i="19"/>
  <c r="L60" i="19"/>
  <c r="AH60" i="19"/>
  <c r="AD61" i="19"/>
  <c r="AC61" i="19"/>
  <c r="AE61" i="19"/>
  <c r="AK61" i="19"/>
  <c r="AB61" i="19"/>
  <c r="S61" i="19"/>
  <c r="AJ61" i="19"/>
  <c r="AL61" i="19"/>
  <c r="AI61" i="19"/>
  <c r="AP61" i="19"/>
  <c r="K62" i="19"/>
  <c r="A63" i="19"/>
  <c r="B59" i="19"/>
  <c r="T59" i="19"/>
  <c r="B60" i="19"/>
  <c r="T60" i="19"/>
  <c r="K63" i="19"/>
  <c r="A64" i="19"/>
  <c r="AA61" i="19"/>
  <c r="L61" i="19"/>
  <c r="AH61" i="19"/>
  <c r="AD62" i="19"/>
  <c r="AC62" i="19"/>
  <c r="AE62" i="19"/>
  <c r="AK62" i="19"/>
  <c r="AB62" i="19"/>
  <c r="S62" i="19"/>
  <c r="AJ62" i="19"/>
  <c r="AL62" i="19"/>
  <c r="AR62" i="19"/>
  <c r="AI62" i="19"/>
  <c r="AP62" i="19"/>
  <c r="AC63" i="19"/>
  <c r="AE63" i="19"/>
  <c r="AK63" i="19"/>
  <c r="AB63" i="19"/>
  <c r="S63" i="19"/>
  <c r="AJ63" i="19"/>
  <c r="AL63" i="19"/>
  <c r="AI63" i="19"/>
  <c r="AP63" i="19"/>
  <c r="AD63" i="19"/>
  <c r="A65" i="19"/>
  <c r="K64" i="19"/>
  <c r="B61" i="19"/>
  <c r="T61" i="19"/>
  <c r="AA62" i="19"/>
  <c r="L62" i="19"/>
  <c r="AH62" i="19"/>
  <c r="T62" i="19"/>
  <c r="B62" i="19"/>
  <c r="AA63" i="19"/>
  <c r="L63" i="19"/>
  <c r="AH63" i="19"/>
  <c r="AK64" i="19"/>
  <c r="AB64" i="19"/>
  <c r="S64" i="19"/>
  <c r="AJ64" i="19"/>
  <c r="AL64" i="19"/>
  <c r="AI64" i="19"/>
  <c r="AP64" i="19"/>
  <c r="AD64" i="19"/>
  <c r="AC64" i="19"/>
  <c r="AE64" i="19"/>
  <c r="K65" i="19"/>
  <c r="A66" i="19"/>
  <c r="A67" i="19"/>
  <c r="K66" i="19"/>
  <c r="AA64" i="19"/>
  <c r="L64" i="19"/>
  <c r="AH64" i="19"/>
  <c r="AC65" i="19"/>
  <c r="AE65" i="19"/>
  <c r="AK65" i="19"/>
  <c r="AB65" i="19"/>
  <c r="S65" i="19"/>
  <c r="AR65" i="19"/>
  <c r="AI65" i="19"/>
  <c r="AP65" i="19"/>
  <c r="AW65" i="19"/>
  <c r="AD65" i="19"/>
  <c r="AJ65" i="19"/>
  <c r="AL65" i="19"/>
  <c r="T63" i="19"/>
  <c r="B63" i="19"/>
  <c r="B64" i="19"/>
  <c r="T64" i="19"/>
  <c r="AH65" i="19"/>
  <c r="AA65" i="19"/>
  <c r="L65" i="19"/>
  <c r="AK66" i="19"/>
  <c r="AB66" i="19"/>
  <c r="S66" i="19"/>
  <c r="AJ66" i="19"/>
  <c r="AL66" i="19"/>
  <c r="AP66" i="19"/>
  <c r="AC66" i="19"/>
  <c r="AE66" i="19"/>
  <c r="AR66" i="19"/>
  <c r="AI66" i="19"/>
  <c r="AD66" i="19"/>
  <c r="A68" i="19"/>
  <c r="K67" i="19"/>
  <c r="AJ67" i="19"/>
  <c r="AL67" i="19"/>
  <c r="AR67" i="19"/>
  <c r="AI67" i="19"/>
  <c r="AP67" i="19"/>
  <c r="AD67" i="19"/>
  <c r="AK67" i="19"/>
  <c r="AB67" i="19"/>
  <c r="S67" i="19"/>
  <c r="AC67" i="19"/>
  <c r="AE67" i="19"/>
  <c r="A69" i="19"/>
  <c r="K68" i="19"/>
  <c r="T65" i="19"/>
  <c r="B65" i="19"/>
  <c r="AA66" i="19"/>
  <c r="L66" i="19"/>
  <c r="AH66" i="19"/>
  <c r="B66" i="19"/>
  <c r="T66" i="19"/>
  <c r="L67" i="19"/>
  <c r="AA67" i="19"/>
  <c r="AH67" i="19"/>
  <c r="K69" i="19"/>
  <c r="A70" i="19"/>
  <c r="AI68" i="19"/>
  <c r="AD68" i="19"/>
  <c r="AC68" i="19"/>
  <c r="AE68" i="19"/>
  <c r="AJ68" i="19"/>
  <c r="AL68" i="19"/>
  <c r="AK68" i="19"/>
  <c r="AB68" i="19"/>
  <c r="S68" i="19"/>
  <c r="AP68" i="19"/>
  <c r="AP69" i="19"/>
  <c r="AD69" i="19"/>
  <c r="AC69" i="19"/>
  <c r="AE69" i="19"/>
  <c r="AK69" i="19"/>
  <c r="AB69" i="19"/>
  <c r="S69" i="19"/>
  <c r="AI69" i="19"/>
  <c r="AJ69" i="19"/>
  <c r="AL69" i="19"/>
  <c r="A71" i="19"/>
  <c r="K70" i="19"/>
  <c r="AH68" i="19"/>
  <c r="AA68" i="19"/>
  <c r="L68" i="19"/>
  <c r="B67" i="19"/>
  <c r="T67" i="19"/>
  <c r="B68" i="19"/>
  <c r="T68" i="19"/>
  <c r="A72" i="19"/>
  <c r="K71" i="19"/>
  <c r="AP70" i="19"/>
  <c r="AC70" i="19"/>
  <c r="AE70" i="19"/>
  <c r="AK70" i="19"/>
  <c r="AB70" i="19"/>
  <c r="S70" i="19"/>
  <c r="AJ70" i="19"/>
  <c r="AL70" i="19"/>
  <c r="AI70" i="19"/>
  <c r="AD70" i="19"/>
  <c r="AW70" i="19"/>
  <c r="AH69" i="19"/>
  <c r="AA69" i="19"/>
  <c r="L69" i="19"/>
  <c r="T69" i="19"/>
  <c r="B69" i="19"/>
  <c r="K72" i="19"/>
  <c r="A73" i="19"/>
  <c r="AD71" i="19"/>
  <c r="AK71" i="19"/>
  <c r="AB71" i="19"/>
  <c r="S71" i="19"/>
  <c r="AJ71" i="19"/>
  <c r="AL71" i="19"/>
  <c r="AI71" i="19"/>
  <c r="AP71" i="19"/>
  <c r="AC71" i="19"/>
  <c r="AE71" i="19"/>
  <c r="AA70" i="19"/>
  <c r="L70" i="19"/>
  <c r="AH70" i="19"/>
  <c r="B70" i="19"/>
  <c r="T70" i="19"/>
  <c r="AA71" i="19"/>
  <c r="L71" i="19"/>
  <c r="AH71" i="19"/>
  <c r="AD72" i="19"/>
  <c r="AC72" i="19"/>
  <c r="AE72" i="19"/>
  <c r="AJ72" i="19"/>
  <c r="AL72" i="19"/>
  <c r="AI72" i="19"/>
  <c r="S72" i="19"/>
  <c r="AP72" i="19"/>
  <c r="AK72" i="19"/>
  <c r="AB72" i="19"/>
  <c r="K73" i="19"/>
  <c r="A74" i="19"/>
  <c r="B71" i="19"/>
  <c r="T71" i="19"/>
  <c r="AA72" i="19"/>
  <c r="L72" i="19"/>
  <c r="AH72" i="19"/>
  <c r="A75" i="19"/>
  <c r="K74" i="19"/>
  <c r="AC73" i="19"/>
  <c r="AE73" i="19"/>
  <c r="AK73" i="19"/>
  <c r="AB73" i="19"/>
  <c r="S73" i="19"/>
  <c r="AI73" i="19"/>
  <c r="AP73" i="19"/>
  <c r="AW73" i="19"/>
  <c r="AD73" i="19"/>
  <c r="AJ73" i="19"/>
  <c r="AL73" i="19"/>
  <c r="T72" i="19"/>
  <c r="B72" i="19"/>
  <c r="K75" i="19"/>
  <c r="A76" i="19"/>
  <c r="AK74" i="19"/>
  <c r="AB74" i="19"/>
  <c r="S74" i="19"/>
  <c r="AJ74" i="19"/>
  <c r="AL74" i="19"/>
  <c r="AP74" i="19"/>
  <c r="AC74" i="19"/>
  <c r="AE74" i="19"/>
  <c r="AD74" i="19"/>
  <c r="AW74" i="19"/>
  <c r="AI74" i="19"/>
  <c r="AH73" i="19"/>
  <c r="AA73" i="19"/>
  <c r="L73" i="19"/>
  <c r="AA74" i="19"/>
  <c r="L74" i="19"/>
  <c r="AH74" i="19"/>
  <c r="M74" i="19"/>
  <c r="U74" i="19"/>
  <c r="K76" i="19"/>
  <c r="A77" i="19"/>
  <c r="AD75" i="19"/>
  <c r="AC75" i="19"/>
  <c r="AE75" i="19"/>
  <c r="AI75" i="19"/>
  <c r="S75" i="19"/>
  <c r="AK75" i="19"/>
  <c r="AJ75" i="19"/>
  <c r="AL75" i="19"/>
  <c r="M75" i="19"/>
  <c r="AB75" i="19"/>
  <c r="AP75" i="19"/>
  <c r="T73" i="19"/>
  <c r="B73" i="19"/>
  <c r="AH75" i="19"/>
  <c r="AA75" i="19"/>
  <c r="L75" i="19"/>
  <c r="AC76" i="19"/>
  <c r="AE76" i="19"/>
  <c r="AK76" i="19"/>
  <c r="AB76" i="19"/>
  <c r="S76" i="19"/>
  <c r="AI76" i="19"/>
  <c r="AP76" i="19"/>
  <c r="AD76" i="19"/>
  <c r="AJ76" i="19"/>
  <c r="AL76" i="19"/>
  <c r="B74" i="19"/>
  <c r="T74" i="19"/>
  <c r="A78" i="19"/>
  <c r="K77" i="19"/>
  <c r="T75" i="19"/>
  <c r="B75" i="19"/>
  <c r="AK77" i="19"/>
  <c r="AB77" i="19"/>
  <c r="S77" i="19"/>
  <c r="AJ77" i="19"/>
  <c r="AL77" i="19"/>
  <c r="AP77" i="19"/>
  <c r="AC77" i="19"/>
  <c r="AE77" i="19"/>
  <c r="AD77" i="19"/>
  <c r="AW77" i="19"/>
  <c r="AI77" i="19"/>
  <c r="A79" i="19"/>
  <c r="K78" i="19"/>
  <c r="AH76" i="19"/>
  <c r="AA76" i="19"/>
  <c r="L76" i="19"/>
  <c r="T76" i="19"/>
  <c r="B76" i="19"/>
  <c r="AA77" i="19"/>
  <c r="L77" i="19"/>
  <c r="AH77" i="19"/>
  <c r="AJ78" i="19"/>
  <c r="AL78" i="19"/>
  <c r="AI78" i="19"/>
  <c r="AP78" i="19"/>
  <c r="AW78" i="19"/>
  <c r="AD78" i="19"/>
  <c r="AK78" i="19"/>
  <c r="AB78" i="19"/>
  <c r="S78" i="19"/>
  <c r="AC78" i="19"/>
  <c r="AE78" i="19"/>
  <c r="A80" i="19"/>
  <c r="K79" i="19"/>
  <c r="K80" i="19"/>
  <c r="A81" i="19"/>
  <c r="AR79" i="19"/>
  <c r="AI79" i="19"/>
  <c r="AW79" i="19"/>
  <c r="AD79" i="19"/>
  <c r="AC79" i="19"/>
  <c r="AE79" i="19"/>
  <c r="AJ79" i="19"/>
  <c r="AL79" i="19"/>
  <c r="AK79" i="19"/>
  <c r="AB79" i="19"/>
  <c r="S79" i="19"/>
  <c r="AP79" i="19"/>
  <c r="B77" i="19"/>
  <c r="T77" i="19"/>
  <c r="AA78" i="19"/>
  <c r="L78" i="19"/>
  <c r="AH78" i="19"/>
  <c r="A82" i="19"/>
  <c r="K81" i="19"/>
  <c r="AH79" i="19"/>
  <c r="AA79" i="19"/>
  <c r="L79" i="19"/>
  <c r="AP80" i="19"/>
  <c r="AW80" i="19"/>
  <c r="AD80" i="19"/>
  <c r="AC80" i="19"/>
  <c r="AE80" i="19"/>
  <c r="AK80" i="19"/>
  <c r="AB80" i="19"/>
  <c r="S80" i="19"/>
  <c r="AR80" i="19"/>
  <c r="AI80" i="19"/>
  <c r="AJ80" i="19"/>
  <c r="AL80" i="19"/>
  <c r="B78" i="19"/>
  <c r="T78" i="19"/>
  <c r="AP81" i="19"/>
  <c r="AC81" i="19"/>
  <c r="AE81" i="19"/>
  <c r="AK81" i="19"/>
  <c r="AB81" i="19"/>
  <c r="S81" i="19"/>
  <c r="AJ81" i="19"/>
  <c r="AL81" i="19"/>
  <c r="AI81" i="19"/>
  <c r="AD81" i="19"/>
  <c r="AW81" i="19"/>
  <c r="A83" i="19"/>
  <c r="K82" i="19"/>
  <c r="AH80" i="19"/>
  <c r="AA80" i="19"/>
  <c r="L80" i="19"/>
  <c r="B79" i="19"/>
  <c r="T79" i="19"/>
  <c r="T80" i="19"/>
  <c r="B80" i="19"/>
  <c r="AW82" i="19"/>
  <c r="AD82" i="19"/>
  <c r="AK82" i="19"/>
  <c r="AB82" i="19"/>
  <c r="S82" i="19"/>
  <c r="AJ82" i="19"/>
  <c r="AL82" i="19"/>
  <c r="AI82" i="19"/>
  <c r="AP82" i="19"/>
  <c r="AC82" i="19"/>
  <c r="AE82" i="19"/>
  <c r="AA81" i="19"/>
  <c r="L81" i="19"/>
  <c r="AH81" i="19"/>
  <c r="K83" i="19"/>
  <c r="A84" i="19"/>
  <c r="L82" i="19"/>
  <c r="AW83" i="19"/>
  <c r="AD83" i="19"/>
  <c r="AC83" i="19"/>
  <c r="AE83" i="19"/>
  <c r="AJ83" i="19"/>
  <c r="AL83" i="19"/>
  <c r="AI83" i="19"/>
  <c r="AB83" i="19"/>
  <c r="AP83" i="19"/>
  <c r="AK83" i="19"/>
  <c r="S83" i="19"/>
  <c r="K84" i="19"/>
  <c r="A85" i="19"/>
  <c r="AA82" i="19"/>
  <c r="AH82" i="19"/>
  <c r="B81" i="19"/>
  <c r="T81" i="19"/>
  <c r="A86" i="19"/>
  <c r="K85" i="19"/>
  <c r="AC84" i="19"/>
  <c r="AE84" i="19"/>
  <c r="AK84" i="19"/>
  <c r="AB84" i="19"/>
  <c r="S84" i="19"/>
  <c r="AI84" i="19"/>
  <c r="AP84" i="19"/>
  <c r="AW84" i="19"/>
  <c r="AD84" i="19"/>
  <c r="AJ84" i="19"/>
  <c r="AL84" i="19"/>
  <c r="B82" i="19"/>
  <c r="T82" i="19"/>
  <c r="AA83" i="19"/>
  <c r="L83" i="19"/>
  <c r="AH83" i="19"/>
  <c r="T83" i="19"/>
  <c r="B83" i="19"/>
  <c r="AH84" i="19"/>
  <c r="AA84" i="19"/>
  <c r="L84" i="19"/>
  <c r="A87" i="19"/>
  <c r="K86" i="19"/>
  <c r="AP85" i="19"/>
  <c r="AK85" i="19"/>
  <c r="AB85" i="19"/>
  <c r="S85" i="19"/>
  <c r="AC85" i="19"/>
  <c r="AE85" i="19"/>
  <c r="AW85" i="19"/>
  <c r="AI85" i="19"/>
  <c r="AD85" i="19"/>
  <c r="AJ85" i="19"/>
  <c r="AL85" i="19"/>
  <c r="T84" i="19"/>
  <c r="B84" i="19"/>
  <c r="AA85" i="19"/>
  <c r="L85" i="19"/>
  <c r="AH85" i="19"/>
  <c r="AW86" i="19"/>
  <c r="AC86" i="19"/>
  <c r="AE86" i="19"/>
  <c r="AJ86" i="19"/>
  <c r="AL86" i="19"/>
  <c r="AI86" i="19"/>
  <c r="S86" i="19"/>
  <c r="AD86" i="19"/>
  <c r="AB86" i="19"/>
  <c r="AP86" i="19"/>
  <c r="AK86" i="19"/>
  <c r="K87" i="19"/>
  <c r="A88" i="19"/>
  <c r="B85" i="19"/>
  <c r="T85" i="19"/>
  <c r="AC87" i="19"/>
  <c r="AE87" i="19"/>
  <c r="AK87" i="19"/>
  <c r="AB87" i="19"/>
  <c r="S87" i="19"/>
  <c r="AJ87" i="19"/>
  <c r="AL87" i="19"/>
  <c r="AI87" i="19"/>
  <c r="AW87" i="19"/>
  <c r="AD87" i="19"/>
  <c r="AP87" i="19"/>
  <c r="AA86" i="19"/>
  <c r="L86" i="19"/>
  <c r="AH86" i="19"/>
  <c r="K88" i="19"/>
  <c r="A89" i="19"/>
  <c r="B86" i="19"/>
  <c r="T86" i="19"/>
  <c r="AA87" i="19"/>
  <c r="L87" i="19"/>
  <c r="AH87" i="19"/>
  <c r="A90" i="19"/>
  <c r="K89" i="19"/>
  <c r="AK88" i="19"/>
  <c r="AB88" i="19"/>
  <c r="S88" i="19"/>
  <c r="AJ88" i="19"/>
  <c r="AL88" i="19"/>
  <c r="AR88" i="19"/>
  <c r="AI88" i="19"/>
  <c r="AP88" i="19"/>
  <c r="AC88" i="19"/>
  <c r="AE88" i="19"/>
  <c r="AD88" i="19"/>
  <c r="AW88" i="19"/>
  <c r="AA88" i="19"/>
  <c r="L88" i="19"/>
  <c r="AH88" i="19"/>
  <c r="AJ89" i="19"/>
  <c r="AL89" i="19"/>
  <c r="AR89" i="19"/>
  <c r="AI89" i="19"/>
  <c r="AP89" i="19"/>
  <c r="AW89" i="19"/>
  <c r="AD89" i="19"/>
  <c r="AK89" i="19"/>
  <c r="AB89" i="19"/>
  <c r="S89" i="19"/>
  <c r="AC89" i="19"/>
  <c r="AE89" i="19"/>
  <c r="A91" i="19"/>
  <c r="K90" i="19"/>
  <c r="T87" i="19"/>
  <c r="B87" i="19"/>
  <c r="AA89" i="19"/>
  <c r="L89" i="19"/>
  <c r="AH89" i="19"/>
  <c r="AI90" i="19"/>
  <c r="AP90" i="19"/>
  <c r="AW90" i="19"/>
  <c r="AD90" i="19"/>
  <c r="AC90" i="19"/>
  <c r="AE90" i="19"/>
  <c r="AJ90" i="19"/>
  <c r="AL90" i="19"/>
  <c r="AK90" i="19"/>
  <c r="AB90" i="19"/>
  <c r="S90" i="19"/>
  <c r="T88" i="19"/>
  <c r="B88" i="19"/>
  <c r="A92" i="19"/>
  <c r="K91" i="19"/>
  <c r="B89" i="19"/>
  <c r="T89" i="19"/>
  <c r="L90" i="19"/>
  <c r="AP91" i="19"/>
  <c r="AW91" i="19"/>
  <c r="AD91" i="19"/>
  <c r="AC91" i="19"/>
  <c r="AE91" i="19"/>
  <c r="AK91" i="19"/>
  <c r="AB91" i="19"/>
  <c r="S91" i="19"/>
  <c r="AI91" i="19"/>
  <c r="AJ91" i="19"/>
  <c r="AL91" i="19"/>
  <c r="A93" i="19"/>
  <c r="K92" i="19"/>
  <c r="AH90" i="19"/>
  <c r="AA90" i="19"/>
  <c r="AP92" i="19"/>
  <c r="AW92" i="19"/>
  <c r="AD92" i="19"/>
  <c r="AC92" i="19"/>
  <c r="AE92" i="19"/>
  <c r="AK92" i="19"/>
  <c r="AB92" i="19"/>
  <c r="S92" i="19"/>
  <c r="AJ92" i="19"/>
  <c r="AL92" i="19"/>
  <c r="AI92" i="19"/>
  <c r="AH91" i="19"/>
  <c r="AA91" i="19"/>
  <c r="L91" i="19"/>
  <c r="A94" i="19"/>
  <c r="K93" i="19"/>
  <c r="B90" i="19"/>
  <c r="T90" i="19"/>
  <c r="L92" i="19"/>
  <c r="AA92" i="19"/>
  <c r="AH92" i="19"/>
  <c r="AI93" i="19"/>
  <c r="AW93" i="19"/>
  <c r="AD93" i="19"/>
  <c r="AJ93" i="19"/>
  <c r="AL93" i="19"/>
  <c r="M93" i="19"/>
  <c r="AK93" i="19"/>
  <c r="S93" i="19"/>
  <c r="AC93" i="19"/>
  <c r="AE93" i="19"/>
  <c r="AB93" i="19"/>
  <c r="AP93" i="19"/>
  <c r="K94" i="19"/>
  <c r="A95" i="19"/>
  <c r="B91" i="19"/>
  <c r="T91" i="19"/>
  <c r="K95" i="19"/>
  <c r="A96" i="19"/>
  <c r="AW94" i="19"/>
  <c r="AD94" i="19"/>
  <c r="AC94" i="19"/>
  <c r="AE94" i="19"/>
  <c r="AI94" i="19"/>
  <c r="AK94" i="19"/>
  <c r="S94" i="19"/>
  <c r="AJ94" i="19"/>
  <c r="AL94" i="19"/>
  <c r="AB94" i="19"/>
  <c r="AP94" i="19"/>
  <c r="B92" i="19"/>
  <c r="T92" i="19"/>
  <c r="AA93" i="19"/>
  <c r="L93" i="19"/>
  <c r="AH93" i="19"/>
  <c r="L94" i="19"/>
  <c r="B93" i="19"/>
  <c r="T93" i="19"/>
  <c r="AH94" i="19"/>
  <c r="AA94" i="19"/>
  <c r="A97" i="19"/>
  <c r="K96" i="19"/>
  <c r="AP95" i="19"/>
  <c r="AC95" i="19"/>
  <c r="AE95" i="19"/>
  <c r="AK95" i="19"/>
  <c r="AB95" i="19"/>
  <c r="S95" i="19"/>
  <c r="AJ95" i="19"/>
  <c r="AL95" i="19"/>
  <c r="AI95" i="19"/>
  <c r="AW95" i="19"/>
  <c r="AD95" i="19"/>
  <c r="AH95" i="19"/>
  <c r="AA95" i="19"/>
  <c r="L95" i="19"/>
  <c r="A98" i="19"/>
  <c r="K97" i="19"/>
  <c r="T94" i="19"/>
  <c r="B94" i="19"/>
  <c r="AK96" i="19"/>
  <c r="AB96" i="19"/>
  <c r="S96" i="19"/>
  <c r="AJ96" i="19"/>
  <c r="AL96" i="19"/>
  <c r="AP96" i="19"/>
  <c r="AI96" i="19"/>
  <c r="AW96" i="19"/>
  <c r="AD96" i="19"/>
  <c r="AC96" i="19"/>
  <c r="AE96" i="19"/>
  <c r="AW97" i="19"/>
  <c r="AD97" i="19"/>
  <c r="AJ97" i="19"/>
  <c r="AL97" i="19"/>
  <c r="AI97" i="19"/>
  <c r="AP97" i="19"/>
  <c r="AK97" i="19"/>
  <c r="S97" i="19"/>
  <c r="AB97" i="19"/>
  <c r="AC97" i="19"/>
  <c r="AE97" i="19"/>
  <c r="T95" i="19"/>
  <c r="B95" i="19"/>
  <c r="AA96" i="19"/>
  <c r="L96" i="19"/>
  <c r="AH96" i="19"/>
  <c r="K98" i="19"/>
  <c r="A99" i="19"/>
  <c r="AA97" i="19"/>
  <c r="L97" i="19"/>
  <c r="AH97" i="19"/>
  <c r="B96" i="19"/>
  <c r="T96" i="19"/>
  <c r="K99" i="19"/>
  <c r="A100" i="19"/>
  <c r="AC98" i="19"/>
  <c r="AE98" i="19"/>
  <c r="AI98" i="19"/>
  <c r="AW98" i="19"/>
  <c r="AD98" i="19"/>
  <c r="AP98" i="19"/>
  <c r="AK98" i="19"/>
  <c r="S98" i="19"/>
  <c r="AJ98" i="19"/>
  <c r="AL98" i="19"/>
  <c r="AB98" i="19"/>
  <c r="A101" i="19"/>
  <c r="K100" i="19"/>
  <c r="AK99" i="19"/>
  <c r="AB99" i="19"/>
  <c r="S99" i="19"/>
  <c r="AP99" i="19"/>
  <c r="AC99" i="19"/>
  <c r="AE99" i="19"/>
  <c r="AJ99" i="19"/>
  <c r="AL99" i="19"/>
  <c r="AI99" i="19"/>
  <c r="AW99" i="19"/>
  <c r="AD99" i="19"/>
  <c r="B97" i="19"/>
  <c r="T97" i="19"/>
  <c r="AH98" i="19"/>
  <c r="AA98" i="19"/>
  <c r="L98" i="19"/>
  <c r="T98" i="19"/>
  <c r="B98" i="19"/>
  <c r="AJ100" i="19"/>
  <c r="AL100" i="19"/>
  <c r="AP100" i="19"/>
  <c r="AK100" i="19"/>
  <c r="AB100" i="19"/>
  <c r="S100" i="19"/>
  <c r="AC100" i="19"/>
  <c r="AE100" i="19"/>
  <c r="AI100" i="19"/>
  <c r="AW100" i="19"/>
  <c r="AD100" i="19"/>
  <c r="AH99" i="19"/>
  <c r="AA99" i="19"/>
  <c r="L99" i="19"/>
  <c r="A102" i="19"/>
  <c r="K101" i="19"/>
  <c r="T99" i="19"/>
  <c r="B99" i="19"/>
  <c r="K102" i="19"/>
  <c r="A103" i="19"/>
  <c r="AA100" i="19"/>
  <c r="L100" i="19"/>
  <c r="AH100" i="19"/>
  <c r="AI101" i="19"/>
  <c r="AW101" i="19"/>
  <c r="AD101" i="19"/>
  <c r="AJ101" i="19"/>
  <c r="AL101" i="19"/>
  <c r="AC101" i="19"/>
  <c r="AE101" i="19"/>
  <c r="AB101" i="19"/>
  <c r="AP101" i="19"/>
  <c r="AK101" i="19"/>
  <c r="S101" i="19"/>
  <c r="L101" i="19"/>
  <c r="B100" i="19"/>
  <c r="T100" i="19"/>
  <c r="AA101" i="19"/>
  <c r="AH101" i="19"/>
  <c r="AP102" i="19"/>
  <c r="AW102" i="19"/>
  <c r="AD102" i="19"/>
  <c r="AC102" i="19"/>
  <c r="AE102" i="19"/>
  <c r="AK102" i="19"/>
  <c r="AB102" i="19"/>
  <c r="S102" i="19"/>
  <c r="AR102" i="19"/>
  <c r="AI102" i="19"/>
  <c r="AJ102" i="19"/>
  <c r="AL102" i="19"/>
  <c r="A104" i="19"/>
  <c r="K103" i="19"/>
  <c r="B101" i="19"/>
  <c r="T101" i="19"/>
  <c r="A105" i="19"/>
  <c r="K105" i="19"/>
  <c r="K104" i="19"/>
  <c r="AP103" i="19"/>
  <c r="AC103" i="19"/>
  <c r="AE103" i="19"/>
  <c r="AK103" i="19"/>
  <c r="AB103" i="19"/>
  <c r="S103" i="19"/>
  <c r="AJ103" i="19"/>
  <c r="AL103" i="19"/>
  <c r="AI103" i="19"/>
  <c r="AD103" i="19"/>
  <c r="AW103" i="19"/>
  <c r="AH102" i="19"/>
  <c r="AA102" i="19"/>
  <c r="L102" i="19"/>
  <c r="T102" i="19"/>
  <c r="B102" i="19"/>
  <c r="L103" i="19"/>
  <c r="AW105" i="19"/>
  <c r="AD105" i="19"/>
  <c r="AC105" i="19"/>
  <c r="AE105" i="19"/>
  <c r="AJ105" i="19"/>
  <c r="AL105" i="19"/>
  <c r="AR105" i="19"/>
  <c r="AI105" i="19"/>
  <c r="AB105" i="19"/>
  <c r="S105" i="19"/>
  <c r="AP105" i="19"/>
  <c r="AK105" i="19"/>
  <c r="AW104" i="19"/>
  <c r="AD104" i="19"/>
  <c r="AK104" i="19"/>
  <c r="AB104" i="19"/>
  <c r="S104" i="19"/>
  <c r="AJ104" i="19"/>
  <c r="AL104" i="19"/>
  <c r="AR104" i="19"/>
  <c r="AI104" i="19"/>
  <c r="AP104" i="19"/>
  <c r="AC104" i="19"/>
  <c r="AE104" i="19"/>
  <c r="AA103" i="19"/>
  <c r="AH103" i="19"/>
  <c r="AA105" i="19"/>
  <c r="L105" i="19"/>
  <c r="AH105" i="19"/>
  <c r="AA104" i="19"/>
  <c r="L104" i="19"/>
  <c r="AH104" i="19"/>
  <c r="B103" i="19"/>
  <c r="T103" i="19"/>
  <c r="B104" i="19"/>
  <c r="T104" i="19"/>
  <c r="T105" i="19"/>
  <c r="B105" i="19"/>
  <c r="AQ90" i="19"/>
  <c r="AS90" i="19"/>
  <c r="AQ95" i="19"/>
  <c r="AS95" i="19"/>
  <c r="AQ58" i="19"/>
  <c r="AS58" i="19"/>
  <c r="AQ67" i="19"/>
  <c r="AS67" i="19"/>
  <c r="AQ78" i="19"/>
  <c r="AS78" i="19"/>
  <c r="AQ79" i="19"/>
  <c r="AS79" i="19"/>
  <c r="AQ85" i="19"/>
  <c r="AS85" i="19"/>
  <c r="AQ88" i="19"/>
  <c r="AS88" i="19"/>
  <c r="N88" i="19"/>
  <c r="AQ89" i="19"/>
  <c r="AS89" i="19"/>
  <c r="AQ93" i="19"/>
  <c r="AS93" i="19"/>
  <c r="AQ100" i="19"/>
  <c r="AS100" i="19"/>
  <c r="AQ105" i="19"/>
  <c r="AS105" i="19"/>
  <c r="F39" i="19"/>
  <c r="AQ72" i="19"/>
  <c r="AS72" i="19"/>
  <c r="AQ96" i="19"/>
  <c r="AS96" i="19"/>
  <c r="AQ97" i="19"/>
  <c r="AS97" i="19"/>
  <c r="N97" i="19"/>
  <c r="AQ98" i="19"/>
  <c r="AS98" i="19"/>
  <c r="AQ102" i="19"/>
  <c r="AS102" i="19"/>
  <c r="AQ104" i="19"/>
  <c r="AS104" i="19"/>
  <c r="AQ74" i="19"/>
  <c r="AS74" i="19"/>
  <c r="AQ80" i="19"/>
  <c r="AS80" i="19"/>
  <c r="AQ86" i="19"/>
  <c r="AS86" i="19"/>
  <c r="AQ94" i="19"/>
  <c r="AS94" i="19"/>
  <c r="AQ99" i="19"/>
  <c r="AS99" i="19"/>
  <c r="N99" i="19"/>
  <c r="D99" i="19"/>
  <c r="AQ103" i="19"/>
  <c r="AS103" i="19"/>
  <c r="AQ61" i="19"/>
  <c r="AS61" i="19"/>
  <c r="AQ76" i="19"/>
  <c r="AS76" i="19"/>
  <c r="AQ82" i="19"/>
  <c r="AS82" i="19"/>
  <c r="AQ83" i="19"/>
  <c r="AS83" i="19"/>
  <c r="AQ91" i="19"/>
  <c r="AS91" i="19"/>
  <c r="AQ81" i="19"/>
  <c r="AS81" i="19"/>
  <c r="AQ92" i="19"/>
  <c r="AS92" i="19"/>
  <c r="N92" i="19"/>
  <c r="AQ75" i="19"/>
  <c r="AS75" i="19"/>
  <c r="AQ84" i="19"/>
  <c r="AS84" i="19"/>
  <c r="AQ87" i="19"/>
  <c r="AS87" i="19"/>
  <c r="AQ101" i="19"/>
  <c r="AS101" i="19"/>
  <c r="G37" i="19"/>
  <c r="AO69" i="19"/>
  <c r="AO72" i="19"/>
  <c r="AO79" i="19"/>
  <c r="N79" i="19"/>
  <c r="AO95" i="19"/>
  <c r="AO96" i="19"/>
  <c r="AO97" i="19"/>
  <c r="AO105" i="19"/>
  <c r="AO58" i="19"/>
  <c r="AO76" i="19"/>
  <c r="AO77" i="19"/>
  <c r="AO83" i="19"/>
  <c r="AO91" i="19"/>
  <c r="AO92" i="19"/>
  <c r="AO99" i="19"/>
  <c r="G38" i="19"/>
  <c r="H38" i="19"/>
  <c r="I38" i="19"/>
  <c r="AO70" i="19"/>
  <c r="AO100" i="19"/>
  <c r="AO78" i="19"/>
  <c r="AO98" i="19"/>
  <c r="N98" i="19"/>
  <c r="AO86" i="19"/>
  <c r="AO89" i="19"/>
  <c r="AO93" i="19"/>
  <c r="AO94" i="19"/>
  <c r="AO102" i="19"/>
  <c r="AO84" i="19"/>
  <c r="AO85" i="19"/>
  <c r="AO87" i="19"/>
  <c r="N87" i="19"/>
  <c r="AO90" i="19"/>
  <c r="AO101" i="19"/>
  <c r="AO103" i="19"/>
  <c r="AO74" i="19"/>
  <c r="AO81" i="19"/>
  <c r="AO88" i="19"/>
  <c r="N89" i="19"/>
  <c r="D89" i="19"/>
  <c r="AO80" i="19"/>
  <c r="N80" i="19"/>
  <c r="AO82" i="19"/>
  <c r="N82" i="19"/>
  <c r="V82" i="19"/>
  <c r="AO104" i="19"/>
  <c r="AR95" i="19"/>
  <c r="AR92" i="19"/>
  <c r="AR90" i="19"/>
  <c r="AR82" i="19"/>
  <c r="AR81" i="19"/>
  <c r="AR60" i="19"/>
  <c r="AR59" i="19"/>
  <c r="G32" i="19"/>
  <c r="M86" i="19"/>
  <c r="AR85" i="19"/>
  <c r="M82" i="19"/>
  <c r="M60" i="19"/>
  <c r="C60" i="19"/>
  <c r="M59" i="19"/>
  <c r="AR58" i="19"/>
  <c r="N58" i="19"/>
  <c r="AR101" i="19"/>
  <c r="N101" i="19"/>
  <c r="AR93" i="19"/>
  <c r="M92" i="19"/>
  <c r="AR87" i="19"/>
  <c r="AR84" i="19"/>
  <c r="M81" i="19"/>
  <c r="AR78" i="19"/>
  <c r="AR75" i="19"/>
  <c r="AR74" i="19"/>
  <c r="AR71" i="19"/>
  <c r="M64" i="19"/>
  <c r="AR97" i="19"/>
  <c r="AR96" i="19"/>
  <c r="M91" i="19"/>
  <c r="M84" i="19"/>
  <c r="M78" i="19"/>
  <c r="C78" i="19"/>
  <c r="AR77" i="19"/>
  <c r="M71" i="19"/>
  <c r="M69" i="19"/>
  <c r="AR64" i="19"/>
  <c r="AR100" i="19"/>
  <c r="M98" i="19"/>
  <c r="AR83" i="19"/>
  <c r="AR76" i="19"/>
  <c r="AR68" i="19"/>
  <c r="AR63" i="19"/>
  <c r="AR61" i="19"/>
  <c r="AR103" i="19"/>
  <c r="AR94" i="19"/>
  <c r="AR86" i="19"/>
  <c r="M83" i="19"/>
  <c r="M80" i="19"/>
  <c r="C80" i="19"/>
  <c r="AR73" i="19"/>
  <c r="AR69" i="19"/>
  <c r="AR57" i="19"/>
  <c r="AR56" i="19"/>
  <c r="AR99" i="19"/>
  <c r="AR98" i="19"/>
  <c r="AR91" i="19"/>
  <c r="M90" i="19"/>
  <c r="C90" i="19"/>
  <c r="M79" i="19"/>
  <c r="U79" i="19"/>
  <c r="AR72" i="19"/>
  <c r="M57" i="19"/>
  <c r="C59" i="19"/>
  <c r="U59" i="19"/>
  <c r="U84" i="19"/>
  <c r="C84" i="19"/>
  <c r="C83" i="19"/>
  <c r="U83" i="19"/>
  <c r="M99" i="19"/>
  <c r="M102" i="19"/>
  <c r="M101" i="19"/>
  <c r="U101" i="19"/>
  <c r="M97" i="19"/>
  <c r="U97" i="19"/>
  <c r="M87" i="19"/>
  <c r="U87" i="19"/>
  <c r="M76" i="19"/>
  <c r="U76" i="19"/>
  <c r="M73" i="19"/>
  <c r="M68" i="19"/>
  <c r="M61" i="19"/>
  <c r="M103" i="19"/>
  <c r="U103" i="19"/>
  <c r="M96" i="19"/>
  <c r="N96" i="19"/>
  <c r="M85" i="19"/>
  <c r="U85" i="19"/>
  <c r="N90" i="19"/>
  <c r="D90" i="19"/>
  <c r="N84" i="19"/>
  <c r="D84" i="19"/>
  <c r="M72" i="19"/>
  <c r="M67" i="19"/>
  <c r="M65" i="19"/>
  <c r="M56" i="19"/>
  <c r="C56" i="19"/>
  <c r="M100" i="19"/>
  <c r="C100" i="19"/>
  <c r="M95" i="19"/>
  <c r="M62" i="19"/>
  <c r="M58" i="19"/>
  <c r="M89" i="19"/>
  <c r="U89" i="19"/>
  <c r="M88" i="19"/>
  <c r="U88" i="19"/>
  <c r="C103" i="19"/>
  <c r="N104" i="19"/>
  <c r="M104" i="19"/>
  <c r="C101" i="19"/>
  <c r="C99" i="19"/>
  <c r="U99" i="19"/>
  <c r="U98" i="19"/>
  <c r="C98" i="19"/>
  <c r="C91" i="19"/>
  <c r="U91" i="19"/>
  <c r="U96" i="19"/>
  <c r="C96" i="19"/>
  <c r="U102" i="19"/>
  <c r="C102" i="19"/>
  <c r="C97" i="19"/>
  <c r="V96" i="19"/>
  <c r="D96" i="19"/>
  <c r="V90" i="19"/>
  <c r="U95" i="19"/>
  <c r="C95" i="19"/>
  <c r="U93" i="19"/>
  <c r="C93" i="19"/>
  <c r="C92" i="19"/>
  <c r="U92" i="19"/>
  <c r="V84" i="19"/>
  <c r="C82" i="19"/>
  <c r="U82" i="19"/>
  <c r="C86" i="19"/>
  <c r="U86" i="19"/>
  <c r="C76" i="19"/>
  <c r="C73" i="19"/>
  <c r="U73" i="19"/>
  <c r="C81" i="19"/>
  <c r="U81" i="19"/>
  <c r="U72" i="19"/>
  <c r="C72" i="19"/>
  <c r="V89" i="19"/>
  <c r="D82" i="19"/>
  <c r="M94" i="19"/>
  <c r="U75" i="19"/>
  <c r="C75" i="19"/>
  <c r="C74" i="19"/>
  <c r="U68" i="19"/>
  <c r="C68" i="19"/>
  <c r="M66" i="19"/>
  <c r="AW58" i="19"/>
  <c r="AW62" i="19"/>
  <c r="AW76" i="19"/>
  <c r="AW56" i="19"/>
  <c r="AW57" i="19"/>
  <c r="AW60" i="19"/>
  <c r="AW67" i="19"/>
  <c r="AW69" i="19"/>
  <c r="AW59" i="19"/>
  <c r="AW68" i="19"/>
  <c r="AW71" i="19"/>
  <c r="AW75" i="19"/>
  <c r="AW72" i="19"/>
  <c r="AW64" i="19"/>
  <c r="AW66" i="19"/>
  <c r="AW61" i="19"/>
  <c r="AW63" i="19"/>
  <c r="C69" i="19"/>
  <c r="U69" i="19"/>
  <c r="M70" i="19"/>
  <c r="C67" i="19"/>
  <c r="U67" i="19"/>
  <c r="U60" i="19"/>
  <c r="U61" i="19"/>
  <c r="C61" i="19"/>
  <c r="U71" i="19"/>
  <c r="C71" i="19"/>
  <c r="C62" i="19"/>
  <c r="U62" i="19"/>
  <c r="AQ56" i="19"/>
  <c r="AS56" i="19"/>
  <c r="AQ63" i="19"/>
  <c r="AS63" i="19"/>
  <c r="AQ62" i="19"/>
  <c r="AS62" i="19"/>
  <c r="AQ70" i="19"/>
  <c r="AS70" i="19"/>
  <c r="N70" i="19"/>
  <c r="AQ57" i="19"/>
  <c r="AS57" i="19"/>
  <c r="AQ59" i="19"/>
  <c r="AS59" i="19"/>
  <c r="AQ60" i="19"/>
  <c r="AS60" i="19"/>
  <c r="AQ65" i="19"/>
  <c r="AS65" i="19"/>
  <c r="AQ66" i="19"/>
  <c r="AS66" i="19"/>
  <c r="AQ73" i="19"/>
  <c r="AS73" i="19"/>
  <c r="AQ77" i="19"/>
  <c r="AS77" i="19"/>
  <c r="N77" i="19"/>
  <c r="AQ69" i="19"/>
  <c r="AS69" i="19"/>
  <c r="N69" i="19"/>
  <c r="AQ68" i="19"/>
  <c r="AS68" i="19"/>
  <c r="AQ64" i="19"/>
  <c r="AS64" i="19"/>
  <c r="AQ71" i="19"/>
  <c r="AS71" i="19"/>
  <c r="M77" i="19"/>
  <c r="AO56" i="19"/>
  <c r="N56" i="19"/>
  <c r="AO73" i="19"/>
  <c r="N74" i="19"/>
  <c r="F40" i="19"/>
  <c r="AO64" i="19"/>
  <c r="AO62" i="19"/>
  <c r="AO63" i="19"/>
  <c r="AO65" i="19"/>
  <c r="N72" i="19"/>
  <c r="AO75" i="19"/>
  <c r="AO59" i="19"/>
  <c r="N59" i="19"/>
  <c r="AO61" i="19"/>
  <c r="N61" i="19"/>
  <c r="N65" i="19"/>
  <c r="AO67" i="19"/>
  <c r="N67" i="19"/>
  <c r="AO66" i="19"/>
  <c r="AO68" i="19"/>
  <c r="AO57" i="19"/>
  <c r="N57" i="19"/>
  <c r="AO60" i="19"/>
  <c r="AO71" i="19"/>
  <c r="C65" i="19"/>
  <c r="U65" i="19"/>
  <c r="U64" i="19"/>
  <c r="C64" i="19"/>
  <c r="M63" i="19"/>
  <c r="C57" i="19"/>
  <c r="U57" i="19"/>
  <c r="Y55" i="19"/>
  <c r="V55" i="19"/>
  <c r="BO103" i="19"/>
  <c r="AM105" i="19"/>
  <c r="M105" i="19"/>
  <c r="D80" i="19"/>
  <c r="V80" i="19"/>
  <c r="D92" i="19"/>
  <c r="V92" i="19"/>
  <c r="V79" i="19"/>
  <c r="D79" i="19"/>
  <c r="V98" i="19"/>
  <c r="D98" i="19"/>
  <c r="V87" i="19"/>
  <c r="D87" i="19"/>
  <c r="V97" i="19"/>
  <c r="D97" i="19"/>
  <c r="V101" i="19"/>
  <c r="D101" i="19"/>
  <c r="U78" i="19"/>
  <c r="C85" i="19"/>
  <c r="C88" i="19"/>
  <c r="U90" i="19"/>
  <c r="C79" i="19"/>
  <c r="N81" i="19"/>
  <c r="N94" i="19"/>
  <c r="N85" i="19"/>
  <c r="N63" i="19"/>
  <c r="C89" i="19"/>
  <c r="C87" i="19"/>
  <c r="H87" i="19"/>
  <c r="N91" i="19"/>
  <c r="N86" i="19"/>
  <c r="U80" i="19"/>
  <c r="G39" i="19"/>
  <c r="H37" i="19"/>
  <c r="N83" i="19"/>
  <c r="N78" i="19"/>
  <c r="N64" i="19"/>
  <c r="N105" i="19"/>
  <c r="V99" i="19"/>
  <c r="N76" i="19"/>
  <c r="N100" i="19"/>
  <c r="U56" i="19"/>
  <c r="AY58" i="19"/>
  <c r="AY82" i="19"/>
  <c r="AY95" i="19"/>
  <c r="AY97" i="19"/>
  <c r="AY69" i="19"/>
  <c r="AY70" i="19"/>
  <c r="AY74" i="19"/>
  <c r="AY75" i="19"/>
  <c r="AY62" i="19"/>
  <c r="AY65" i="19"/>
  <c r="AY67" i="19"/>
  <c r="AY90" i="19"/>
  <c r="AY98" i="19"/>
  <c r="AY103" i="19"/>
  <c r="AY104" i="19"/>
  <c r="AY60" i="19"/>
  <c r="AY85" i="19"/>
  <c r="AY87" i="19"/>
  <c r="AY89" i="19"/>
  <c r="AY105" i="19"/>
  <c r="AY100" i="19"/>
  <c r="AY57" i="19"/>
  <c r="AY59" i="19"/>
  <c r="AY66" i="19"/>
  <c r="AY72" i="19"/>
  <c r="AY73" i="19"/>
  <c r="AY83" i="19"/>
  <c r="AY88" i="19"/>
  <c r="AY92" i="19"/>
  <c r="AY101" i="19"/>
  <c r="AY63" i="19"/>
  <c r="AY68" i="19"/>
  <c r="AY79" i="19"/>
  <c r="AY80" i="19"/>
  <c r="AY81" i="19"/>
  <c r="AY96" i="19"/>
  <c r="AY99" i="19"/>
  <c r="AY102" i="19"/>
  <c r="AY84" i="19"/>
  <c r="AY86" i="19"/>
  <c r="H32" i="19"/>
  <c r="AY56" i="19"/>
  <c r="AY61" i="19"/>
  <c r="AY64" i="19"/>
  <c r="AY76" i="19"/>
  <c r="AY77" i="19"/>
  <c r="AY91" i="19"/>
  <c r="AY93" i="19"/>
  <c r="AY94" i="19"/>
  <c r="AY71" i="19"/>
  <c r="AY78" i="19"/>
  <c r="N102" i="19"/>
  <c r="N93" i="19"/>
  <c r="N95" i="19"/>
  <c r="N75" i="19"/>
  <c r="V75" i="19"/>
  <c r="N62" i="19"/>
  <c r="N103" i="19"/>
  <c r="N66" i="19"/>
  <c r="V66" i="19"/>
  <c r="N73" i="19"/>
  <c r="U100" i="19"/>
  <c r="U58" i="19"/>
  <c r="C58" i="19"/>
  <c r="N71" i="19"/>
  <c r="D71" i="19"/>
  <c r="N60" i="19"/>
  <c r="V60" i="19"/>
  <c r="D59" i="19"/>
  <c r="V59" i="19"/>
  <c r="D75" i="19"/>
  <c r="V62" i="19"/>
  <c r="D62" i="19"/>
  <c r="D56" i="19"/>
  <c r="V56" i="19"/>
  <c r="D60" i="19"/>
  <c r="D61" i="19"/>
  <c r="V61" i="19"/>
  <c r="V58" i="19"/>
  <c r="D58" i="19"/>
  <c r="C63" i="19"/>
  <c r="U63" i="19"/>
  <c r="C94" i="19"/>
  <c r="U94" i="19"/>
  <c r="D57" i="19"/>
  <c r="V57" i="19"/>
  <c r="D72" i="19"/>
  <c r="V72" i="19"/>
  <c r="N68" i="19"/>
  <c r="AX56" i="19"/>
  <c r="AZ56" i="19"/>
  <c r="AX59" i="19"/>
  <c r="AZ59" i="19"/>
  <c r="AX66" i="19"/>
  <c r="AZ66" i="19"/>
  <c r="AX68" i="19"/>
  <c r="AZ68" i="19"/>
  <c r="AX69" i="19"/>
  <c r="AZ69" i="19"/>
  <c r="AX71" i="19"/>
  <c r="AZ71" i="19"/>
  <c r="AX75" i="19"/>
  <c r="AZ75" i="19"/>
  <c r="AX77" i="19"/>
  <c r="AZ77" i="19"/>
  <c r="AX70" i="19"/>
  <c r="AZ70" i="19"/>
  <c r="AX72" i="19"/>
  <c r="AZ72" i="19"/>
  <c r="AX61" i="19"/>
  <c r="AZ61" i="19"/>
  <c r="AX63" i="19"/>
  <c r="AZ63" i="19"/>
  <c r="O63" i="19"/>
  <c r="AX64" i="19"/>
  <c r="AZ64" i="19"/>
  <c r="AX76" i="19"/>
  <c r="AZ76" i="19"/>
  <c r="AX58" i="19"/>
  <c r="AZ58" i="19"/>
  <c r="AX65" i="19"/>
  <c r="AZ65" i="19"/>
  <c r="AX62" i="19"/>
  <c r="AZ62" i="19"/>
  <c r="AX57" i="19"/>
  <c r="AZ57" i="19"/>
  <c r="AX60" i="19"/>
  <c r="AZ60" i="19"/>
  <c r="AX67" i="19"/>
  <c r="AZ67" i="19"/>
  <c r="AX80" i="19"/>
  <c r="AZ80" i="19"/>
  <c r="AX73" i="19"/>
  <c r="AZ73" i="19"/>
  <c r="AX82" i="19"/>
  <c r="AZ82" i="19"/>
  <c r="AX85" i="19"/>
  <c r="AZ85" i="19"/>
  <c r="AX88" i="19"/>
  <c r="AZ88" i="19"/>
  <c r="AX81" i="19"/>
  <c r="AZ81" i="19"/>
  <c r="AX84" i="19"/>
  <c r="AZ84" i="19"/>
  <c r="O84" i="19"/>
  <c r="AX87" i="19"/>
  <c r="AZ87" i="19"/>
  <c r="AX78" i="19"/>
  <c r="AZ78" i="19"/>
  <c r="AX74" i="19"/>
  <c r="AZ74" i="19"/>
  <c r="AX79" i="19"/>
  <c r="AZ79" i="19"/>
  <c r="O79" i="19"/>
  <c r="AX86" i="19"/>
  <c r="AZ86" i="19"/>
  <c r="AX93" i="19"/>
  <c r="AZ93" i="19"/>
  <c r="AX92" i="19"/>
  <c r="AZ92" i="19"/>
  <c r="AX99" i="19"/>
  <c r="AZ99" i="19"/>
  <c r="AX83" i="19"/>
  <c r="AZ83" i="19"/>
  <c r="AX90" i="19"/>
  <c r="AZ90" i="19"/>
  <c r="AX94" i="19"/>
  <c r="AZ94" i="19"/>
  <c r="AX98" i="19"/>
  <c r="AZ98" i="19"/>
  <c r="AX103" i="19"/>
  <c r="AZ103" i="19"/>
  <c r="AX104" i="19"/>
  <c r="AZ104" i="19"/>
  <c r="AX97" i="19"/>
  <c r="AZ97" i="19"/>
  <c r="AX102" i="19"/>
  <c r="AZ102" i="19"/>
  <c r="AX100" i="19"/>
  <c r="AZ100" i="19"/>
  <c r="AX101" i="19"/>
  <c r="AZ101" i="19"/>
  <c r="AX105" i="19"/>
  <c r="AZ105" i="19"/>
  <c r="AX91" i="19"/>
  <c r="AZ91" i="19"/>
  <c r="O91" i="19"/>
  <c r="AX96" i="19"/>
  <c r="AZ96" i="19"/>
  <c r="AX89" i="19"/>
  <c r="AZ89" i="19"/>
  <c r="AX95" i="19"/>
  <c r="AZ95" i="19"/>
  <c r="C104" i="19"/>
  <c r="U104" i="19"/>
  <c r="U105" i="19"/>
  <c r="C105" i="19"/>
  <c r="AV57" i="19"/>
  <c r="O57" i="19"/>
  <c r="AV60" i="19"/>
  <c r="G40" i="19"/>
  <c r="AV56" i="19"/>
  <c r="AV63" i="19"/>
  <c r="AV69" i="19"/>
  <c r="AV58" i="19"/>
  <c r="AV65" i="19"/>
  <c r="AV70" i="19"/>
  <c r="AV64" i="19"/>
  <c r="AV75" i="19"/>
  <c r="AV76" i="19"/>
  <c r="AV61" i="19"/>
  <c r="AV59" i="19"/>
  <c r="AV66" i="19"/>
  <c r="AV68" i="19"/>
  <c r="AV71" i="19"/>
  <c r="AV87" i="19"/>
  <c r="AV72" i="19"/>
  <c r="AV82" i="19"/>
  <c r="AV84" i="19"/>
  <c r="AV67" i="19"/>
  <c r="O67" i="19"/>
  <c r="AV78" i="19"/>
  <c r="AV86" i="19"/>
  <c r="O86" i="19"/>
  <c r="O60" i="19"/>
  <c r="AV62" i="19"/>
  <c r="AV73" i="19"/>
  <c r="AV74" i="19"/>
  <c r="O74" i="19"/>
  <c r="AV77" i="19"/>
  <c r="O77" i="19"/>
  <c r="AV80" i="19"/>
  <c r="AV85" i="19"/>
  <c r="O72" i="19"/>
  <c r="AV81" i="19"/>
  <c r="O81" i="19"/>
  <c r="AV79" i="19"/>
  <c r="AV83" i="19"/>
  <c r="AV90" i="19"/>
  <c r="AV91" i="19"/>
  <c r="AV95" i="19"/>
  <c r="O95" i="19"/>
  <c r="AV92" i="19"/>
  <c r="O92" i="19"/>
  <c r="O101" i="19"/>
  <c r="AV89" i="19"/>
  <c r="AV88" i="19"/>
  <c r="AV105" i="19"/>
  <c r="AV103" i="19"/>
  <c r="O103" i="19"/>
  <c r="AV104" i="19"/>
  <c r="O104" i="19"/>
  <c r="AV93" i="19"/>
  <c r="AV99" i="19"/>
  <c r="O99" i="19"/>
  <c r="AV102" i="19"/>
  <c r="AV96" i="19"/>
  <c r="O96" i="19"/>
  <c r="AV97" i="19"/>
  <c r="O97" i="19"/>
  <c r="AV100" i="19"/>
  <c r="AV94" i="19"/>
  <c r="O94" i="19"/>
  <c r="AV98" i="19"/>
  <c r="O98" i="19"/>
  <c r="AV101" i="19"/>
  <c r="O105" i="19"/>
  <c r="D74" i="19"/>
  <c r="V74" i="19"/>
  <c r="C66" i="19"/>
  <c r="U66" i="19"/>
  <c r="D67" i="19"/>
  <c r="V67" i="19"/>
  <c r="D88" i="19"/>
  <c r="V88" i="19"/>
  <c r="V65" i="19"/>
  <c r="D65" i="19"/>
  <c r="V64" i="19"/>
  <c r="D64" i="19"/>
  <c r="D77" i="19"/>
  <c r="V77" i="19"/>
  <c r="V70" i="19"/>
  <c r="D70" i="19"/>
  <c r="V63" i="19"/>
  <c r="D63" i="19"/>
  <c r="BD59" i="19"/>
  <c r="BD70" i="19"/>
  <c r="BD64" i="19"/>
  <c r="BD66" i="19"/>
  <c r="BD76" i="19"/>
  <c r="BD77" i="19"/>
  <c r="BD56" i="19"/>
  <c r="BD63" i="19"/>
  <c r="BD65" i="19"/>
  <c r="BD67" i="19"/>
  <c r="BD61" i="19"/>
  <c r="BD58" i="19"/>
  <c r="BD62" i="19"/>
  <c r="BD68" i="19"/>
  <c r="BD69" i="19"/>
  <c r="BD75" i="19"/>
  <c r="BD81" i="19"/>
  <c r="BD84" i="19"/>
  <c r="BD57" i="19"/>
  <c r="BD73" i="19"/>
  <c r="BD78" i="19"/>
  <c r="BD60" i="19"/>
  <c r="BD71" i="19"/>
  <c r="BD87" i="19"/>
  <c r="BD80" i="19"/>
  <c r="BD85" i="19"/>
  <c r="BD74" i="19"/>
  <c r="BD79" i="19"/>
  <c r="BD83" i="19"/>
  <c r="BD72" i="19"/>
  <c r="BD82" i="19"/>
  <c r="BD86" i="19"/>
  <c r="BD96" i="19"/>
  <c r="BD97" i="19"/>
  <c r="BD88" i="19"/>
  <c r="BD90" i="19"/>
  <c r="BD99" i="19"/>
  <c r="BD93" i="19"/>
  <c r="BD104" i="19"/>
  <c r="BD98" i="19"/>
  <c r="BD89" i="19"/>
  <c r="BD92" i="19"/>
  <c r="BD102" i="19"/>
  <c r="BD91" i="19"/>
  <c r="BD101" i="19"/>
  <c r="BD94" i="19"/>
  <c r="BD95" i="19"/>
  <c r="BD100" i="19"/>
  <c r="BD103" i="19"/>
  <c r="BD105" i="19"/>
  <c r="U70" i="19"/>
  <c r="C70" i="19"/>
  <c r="D73" i="19"/>
  <c r="V73" i="19"/>
  <c r="V104" i="19"/>
  <c r="D104" i="19"/>
  <c r="V69" i="19"/>
  <c r="D69" i="19"/>
  <c r="C77" i="19"/>
  <c r="U77" i="19"/>
  <c r="D78" i="19"/>
  <c r="V78" i="19"/>
  <c r="O100" i="19"/>
  <c r="O66" i="19"/>
  <c r="V103" i="19"/>
  <c r="D103" i="19"/>
  <c r="BF61" i="19"/>
  <c r="BF75" i="19"/>
  <c r="BF78" i="19"/>
  <c r="BF81" i="19"/>
  <c r="BF86" i="19"/>
  <c r="BF100" i="19"/>
  <c r="BF105" i="19"/>
  <c r="BF76" i="19"/>
  <c r="BF66" i="19"/>
  <c r="BF69" i="19"/>
  <c r="BF77" i="19"/>
  <c r="BF96" i="19"/>
  <c r="BF99" i="19"/>
  <c r="BF58" i="19"/>
  <c r="BF70" i="19"/>
  <c r="BF87" i="19"/>
  <c r="BF104" i="19"/>
  <c r="BF65" i="19"/>
  <c r="BF67" i="19"/>
  <c r="BF72" i="19"/>
  <c r="BF79" i="19"/>
  <c r="BF85" i="19"/>
  <c r="BF90" i="19"/>
  <c r="BF92" i="19"/>
  <c r="BF98" i="19"/>
  <c r="I32" i="19"/>
  <c r="BF60" i="19"/>
  <c r="BF64" i="19"/>
  <c r="BF68" i="19"/>
  <c r="BF83" i="19"/>
  <c r="BF89" i="19"/>
  <c r="BF94" i="19"/>
  <c r="BF88" i="19"/>
  <c r="BF91" i="19"/>
  <c r="BF57" i="19"/>
  <c r="BF59" i="19"/>
  <c r="BF71" i="19"/>
  <c r="BF73" i="19"/>
  <c r="BF82" i="19"/>
  <c r="BF84" i="19"/>
  <c r="BF95" i="19"/>
  <c r="BF56" i="19"/>
  <c r="BF62" i="19"/>
  <c r="BF63" i="19"/>
  <c r="BF74" i="19"/>
  <c r="BF80" i="19"/>
  <c r="BF93" i="19"/>
  <c r="BF97" i="19"/>
  <c r="BF101" i="19"/>
  <c r="BF102" i="19"/>
  <c r="BF103" i="19"/>
  <c r="V83" i="19"/>
  <c r="D83" i="19"/>
  <c r="O83" i="19"/>
  <c r="W83" i="19"/>
  <c r="O73" i="19"/>
  <c r="O76" i="19"/>
  <c r="O56" i="19"/>
  <c r="H39" i="19"/>
  <c r="I37" i="19"/>
  <c r="D85" i="19"/>
  <c r="V85" i="19"/>
  <c r="V100" i="19"/>
  <c r="D100" i="19"/>
  <c r="V94" i="19"/>
  <c r="D94" i="19"/>
  <c r="O87" i="19"/>
  <c r="W87" i="19"/>
  <c r="D95" i="19"/>
  <c r="V95" i="19"/>
  <c r="V76" i="19"/>
  <c r="D76" i="19"/>
  <c r="V81" i="19"/>
  <c r="D81" i="19"/>
  <c r="V93" i="19"/>
  <c r="D93" i="19"/>
  <c r="D86" i="19"/>
  <c r="V86" i="19"/>
  <c r="O85" i="19"/>
  <c r="O68" i="19"/>
  <c r="O65" i="19"/>
  <c r="V102" i="19"/>
  <c r="D102" i="19"/>
  <c r="V105" i="19"/>
  <c r="D105" i="19"/>
  <c r="V91" i="19"/>
  <c r="D91" i="19"/>
  <c r="O78" i="19"/>
  <c r="E78" i="19"/>
  <c r="O69" i="19"/>
  <c r="O75" i="19"/>
  <c r="E75" i="19"/>
  <c r="O71" i="19"/>
  <c r="O90" i="19"/>
  <c r="E90" i="19"/>
  <c r="O80" i="19"/>
  <c r="O64" i="19"/>
  <c r="W64" i="19"/>
  <c r="D66" i="19"/>
  <c r="O59" i="19"/>
  <c r="W59" i="19"/>
  <c r="O82" i="19"/>
  <c r="E82" i="19"/>
  <c r="O89" i="19"/>
  <c r="W89" i="19"/>
  <c r="O93" i="19"/>
  <c r="E93" i="19"/>
  <c r="O88" i="19"/>
  <c r="E88" i="19"/>
  <c r="O62" i="19"/>
  <c r="O70" i="19"/>
  <c r="W70" i="19"/>
  <c r="V71" i="19"/>
  <c r="O102" i="19"/>
  <c r="E102" i="19"/>
  <c r="O61" i="19"/>
  <c r="E61" i="19"/>
  <c r="O58" i="19"/>
  <c r="E58" i="19"/>
  <c r="W100" i="19"/>
  <c r="E100" i="19"/>
  <c r="E83" i="19"/>
  <c r="E68" i="19"/>
  <c r="W68" i="19"/>
  <c r="W90" i="19"/>
  <c r="W78" i="19"/>
  <c r="E80" i="19"/>
  <c r="W80" i="19"/>
  <c r="E64" i="19"/>
  <c r="E71" i="19"/>
  <c r="W71" i="19"/>
  <c r="E67" i="19"/>
  <c r="W67" i="19"/>
  <c r="W74" i="19"/>
  <c r="E74" i="19"/>
  <c r="W103" i="19"/>
  <c r="E103" i="19"/>
  <c r="W81" i="19"/>
  <c r="E81" i="19"/>
  <c r="W82" i="19"/>
  <c r="E89" i="19"/>
  <c r="E62" i="19"/>
  <c r="W62" i="19"/>
  <c r="E70" i="19"/>
  <c r="E98" i="19"/>
  <c r="W98" i="19"/>
  <c r="E87" i="19"/>
  <c r="W61" i="19"/>
  <c r="E97" i="19"/>
  <c r="W97" i="19"/>
  <c r="E60" i="19"/>
  <c r="W60" i="19"/>
  <c r="W105" i="19"/>
  <c r="E105" i="19"/>
  <c r="W99" i="19"/>
  <c r="E99" i="19"/>
  <c r="E101" i="19"/>
  <c r="W101" i="19"/>
  <c r="E63" i="19"/>
  <c r="W63" i="19"/>
  <c r="E94" i="19"/>
  <c r="W94" i="19"/>
  <c r="E84" i="19"/>
  <c r="W84" i="19"/>
  <c r="E56" i="19"/>
  <c r="W56" i="19"/>
  <c r="W104" i="19"/>
  <c r="E104" i="19"/>
  <c r="E57" i="19"/>
  <c r="W57" i="19"/>
  <c r="W76" i="19"/>
  <c r="E76" i="19"/>
  <c r="BK57" i="19"/>
  <c r="BK66" i="19"/>
  <c r="BK76" i="19"/>
  <c r="BK59" i="19"/>
  <c r="BK67" i="19"/>
  <c r="BK68" i="19"/>
  <c r="BK75" i="19"/>
  <c r="BK56" i="19"/>
  <c r="BK74" i="19"/>
  <c r="BK63" i="19"/>
  <c r="BK69" i="19"/>
  <c r="BK70" i="19"/>
  <c r="BK58" i="19"/>
  <c r="BK61" i="19"/>
  <c r="BK62" i="19"/>
  <c r="BK64" i="19"/>
  <c r="BK65" i="19"/>
  <c r="BK60" i="19"/>
  <c r="BK80" i="19"/>
  <c r="BK71" i="19"/>
  <c r="BK79" i="19"/>
  <c r="BK85" i="19"/>
  <c r="BK87" i="19"/>
  <c r="BK81" i="19"/>
  <c r="BK72" i="19"/>
  <c r="BK73" i="19"/>
  <c r="BK77" i="19"/>
  <c r="BK78" i="19"/>
  <c r="BK82" i="19"/>
  <c r="BK83" i="19"/>
  <c r="BK89" i="19"/>
  <c r="BK97" i="19"/>
  <c r="BK102" i="19"/>
  <c r="BK101" i="19"/>
  <c r="BK91" i="19"/>
  <c r="BK94" i="19"/>
  <c r="BK98" i="19"/>
  <c r="BK105" i="19"/>
  <c r="BK90" i="19"/>
  <c r="BK86" i="19"/>
  <c r="BK95" i="19"/>
  <c r="BK103" i="19"/>
  <c r="BK104" i="19"/>
  <c r="BK93" i="19"/>
  <c r="BK96" i="19"/>
  <c r="BK100" i="19"/>
  <c r="BK84" i="19"/>
  <c r="BK88" i="19"/>
  <c r="BK92" i="19"/>
  <c r="BK99" i="19"/>
  <c r="E79" i="19"/>
  <c r="W79" i="19"/>
  <c r="H40" i="19"/>
  <c r="BC57" i="19"/>
  <c r="BC59" i="19"/>
  <c r="BC65" i="19"/>
  <c r="BC69" i="19"/>
  <c r="BC56" i="19"/>
  <c r="BC60" i="19"/>
  <c r="BC67" i="19"/>
  <c r="BC62" i="19"/>
  <c r="BC63" i="19"/>
  <c r="BC58" i="19"/>
  <c r="BC64" i="19"/>
  <c r="BC66" i="19"/>
  <c r="BC70" i="19"/>
  <c r="BC61" i="19"/>
  <c r="BC81" i="19"/>
  <c r="BC73" i="19"/>
  <c r="BC79" i="19"/>
  <c r="P79" i="19"/>
  <c r="BC83" i="19"/>
  <c r="BC85" i="19"/>
  <c r="BC75" i="19"/>
  <c r="BC72" i="19"/>
  <c r="BC76" i="19"/>
  <c r="BC87" i="19"/>
  <c r="BC77" i="19"/>
  <c r="BC71" i="19"/>
  <c r="BC78" i="19"/>
  <c r="BC82" i="19"/>
  <c r="BC86" i="19"/>
  <c r="BC68" i="19"/>
  <c r="BC74" i="19"/>
  <c r="BC80" i="19"/>
  <c r="BC89" i="19"/>
  <c r="BC91" i="19"/>
  <c r="BC96" i="19"/>
  <c r="BC98" i="19"/>
  <c r="BC94" i="19"/>
  <c r="BC90" i="19"/>
  <c r="BC95" i="19"/>
  <c r="BC101" i="19"/>
  <c r="BC103" i="19"/>
  <c r="BC88" i="19"/>
  <c r="BC92" i="19"/>
  <c r="BC99" i="19"/>
  <c r="BC104" i="19"/>
  <c r="BC84" i="19"/>
  <c r="BC93" i="19"/>
  <c r="BC97" i="19"/>
  <c r="P97" i="19"/>
  <c r="BC100" i="19"/>
  <c r="BC102" i="19"/>
  <c r="BC105" i="19"/>
  <c r="BE63" i="19"/>
  <c r="BG63" i="19"/>
  <c r="P63" i="19"/>
  <c r="BE64" i="19"/>
  <c r="BG64" i="19"/>
  <c r="BE65" i="19"/>
  <c r="BG65" i="19"/>
  <c r="BE73" i="19"/>
  <c r="BG73" i="19"/>
  <c r="P73" i="19"/>
  <c r="BE56" i="19"/>
  <c r="BG56" i="19"/>
  <c r="P56" i="19"/>
  <c r="BE58" i="19"/>
  <c r="BG58" i="19"/>
  <c r="BE62" i="19"/>
  <c r="BG62" i="19"/>
  <c r="P62" i="19"/>
  <c r="BE66" i="19"/>
  <c r="BG66" i="19"/>
  <c r="P66" i="19"/>
  <c r="BE67" i="19"/>
  <c r="BG67" i="19"/>
  <c r="P67" i="19"/>
  <c r="BE71" i="19"/>
  <c r="BG71" i="19"/>
  <c r="BE57" i="19"/>
  <c r="BG57" i="19"/>
  <c r="P57" i="19"/>
  <c r="BE60" i="19"/>
  <c r="BG60" i="19"/>
  <c r="P60" i="19"/>
  <c r="BE69" i="19"/>
  <c r="BG69" i="19"/>
  <c r="P69" i="19"/>
  <c r="BE59" i="19"/>
  <c r="BG59" i="19"/>
  <c r="P59" i="19"/>
  <c r="BE68" i="19"/>
  <c r="BG68" i="19"/>
  <c r="P68" i="19"/>
  <c r="BE70" i="19"/>
  <c r="BG70" i="19"/>
  <c r="BE76" i="19"/>
  <c r="BG76" i="19"/>
  <c r="P76" i="19"/>
  <c r="BE80" i="19"/>
  <c r="BG80" i="19"/>
  <c r="P80" i="19"/>
  <c r="BE82" i="19"/>
  <c r="BG82" i="19"/>
  <c r="P82" i="19"/>
  <c r="BE85" i="19"/>
  <c r="BG85" i="19"/>
  <c r="BE74" i="19"/>
  <c r="BG74" i="19"/>
  <c r="P74" i="19"/>
  <c r="BE61" i="19"/>
  <c r="BG61" i="19"/>
  <c r="BE86" i="19"/>
  <c r="BG86" i="19"/>
  <c r="P86" i="19"/>
  <c r="BE79" i="19"/>
  <c r="BG79" i="19"/>
  <c r="BE81" i="19"/>
  <c r="BG81" i="19"/>
  <c r="P81" i="19"/>
  <c r="BE75" i="19"/>
  <c r="BG75" i="19"/>
  <c r="BE77" i="19"/>
  <c r="BG77" i="19"/>
  <c r="P77" i="19"/>
  <c r="BE78" i="19"/>
  <c r="BG78" i="19"/>
  <c r="BE72" i="19"/>
  <c r="BG72" i="19"/>
  <c r="P72" i="19"/>
  <c r="BE83" i="19"/>
  <c r="BG83" i="19"/>
  <c r="P83" i="19"/>
  <c r="BE91" i="19"/>
  <c r="BG91" i="19"/>
  <c r="P91" i="19"/>
  <c r="BE93" i="19"/>
  <c r="BG93" i="19"/>
  <c r="BE89" i="19"/>
  <c r="BG89" i="19"/>
  <c r="P89" i="19"/>
  <c r="BE96" i="19"/>
  <c r="BG96" i="19"/>
  <c r="BE99" i="19"/>
  <c r="BG99" i="19"/>
  <c r="P99" i="19"/>
  <c r="BE100" i="19"/>
  <c r="BG100" i="19"/>
  <c r="BE101" i="19"/>
  <c r="BG101" i="19"/>
  <c r="P101" i="19"/>
  <c r="BE95" i="19"/>
  <c r="BG95" i="19"/>
  <c r="BE84" i="19"/>
  <c r="BG84" i="19"/>
  <c r="P84" i="19"/>
  <c r="BE87" i="19"/>
  <c r="BG87" i="19"/>
  <c r="BE103" i="19"/>
  <c r="BG103" i="19"/>
  <c r="P103" i="19"/>
  <c r="BE105" i="19"/>
  <c r="BG105" i="19"/>
  <c r="BE92" i="19"/>
  <c r="BG92" i="19"/>
  <c r="BE97" i="19"/>
  <c r="BG97" i="19"/>
  <c r="BE88" i="19"/>
  <c r="BG88" i="19"/>
  <c r="BE94" i="19"/>
  <c r="BG94" i="19"/>
  <c r="BE98" i="19"/>
  <c r="BG98" i="19"/>
  <c r="P98" i="19"/>
  <c r="BE90" i="19"/>
  <c r="BG90" i="19"/>
  <c r="BE102" i="19"/>
  <c r="BG102" i="19"/>
  <c r="P102" i="19"/>
  <c r="BE104" i="19"/>
  <c r="BG104" i="19"/>
  <c r="W86" i="19"/>
  <c r="E86" i="19"/>
  <c r="W66" i="19"/>
  <c r="E66" i="19"/>
  <c r="W95" i="19"/>
  <c r="E95" i="19"/>
  <c r="W77" i="19"/>
  <c r="E77" i="19"/>
  <c r="W69" i="19"/>
  <c r="E69" i="19"/>
  <c r="D68" i="19"/>
  <c r="V68" i="19"/>
  <c r="W92" i="19"/>
  <c r="E92" i="19"/>
  <c r="W73" i="19"/>
  <c r="E73" i="19"/>
  <c r="W96" i="19"/>
  <c r="E96" i="19"/>
  <c r="W85" i="19"/>
  <c r="E85" i="19"/>
  <c r="E72" i="19"/>
  <c r="W72" i="19"/>
  <c r="E91" i="19"/>
  <c r="W91" i="19"/>
  <c r="W65" i="19"/>
  <c r="E65" i="19"/>
  <c r="BM56" i="19"/>
  <c r="BM60" i="19"/>
  <c r="BM77" i="19"/>
  <c r="BM81" i="19"/>
  <c r="BM82" i="19"/>
  <c r="BM71" i="19"/>
  <c r="BM57" i="19"/>
  <c r="BM59" i="19"/>
  <c r="BM68" i="19"/>
  <c r="BM75" i="19"/>
  <c r="BM79" i="19"/>
  <c r="BM83" i="19"/>
  <c r="BM92" i="19"/>
  <c r="BM97" i="19"/>
  <c r="BM100" i="19"/>
  <c r="BM102" i="19"/>
  <c r="BM103" i="19"/>
  <c r="BM62" i="19"/>
  <c r="BM64" i="19"/>
  <c r="BM88" i="19"/>
  <c r="BM90" i="19"/>
  <c r="BM104" i="19"/>
  <c r="BM101" i="19"/>
  <c r="BM65" i="19"/>
  <c r="BM70" i="19"/>
  <c r="BM78" i="19"/>
  <c r="BM80" i="19"/>
  <c r="BM84" i="19"/>
  <c r="BM98" i="19"/>
  <c r="BM105" i="19"/>
  <c r="BM61" i="19"/>
  <c r="BM85" i="19"/>
  <c r="BM91" i="19"/>
  <c r="BM95" i="19"/>
  <c r="BM86" i="19"/>
  <c r="BM89" i="19"/>
  <c r="BM94" i="19"/>
  <c r="BM96" i="19"/>
  <c r="BM99" i="19"/>
  <c r="BM63" i="19"/>
  <c r="BM67" i="19"/>
  <c r="BM69" i="19"/>
  <c r="BM73" i="19"/>
  <c r="BM58" i="19"/>
  <c r="BM66" i="19"/>
  <c r="BM72" i="19"/>
  <c r="BM74" i="19"/>
  <c r="BM76" i="19"/>
  <c r="BM87" i="19"/>
  <c r="BM93" i="19"/>
  <c r="E59" i="19"/>
  <c r="W102" i="19"/>
  <c r="W75" i="19"/>
  <c r="P100" i="19"/>
  <c r="X100" i="19"/>
  <c r="W88" i="19"/>
  <c r="P65" i="19"/>
  <c r="F65" i="19"/>
  <c r="W93" i="19"/>
  <c r="P92" i="19"/>
  <c r="P104" i="19"/>
  <c r="I39" i="19"/>
  <c r="P96" i="19"/>
  <c r="P71" i="19"/>
  <c r="F71" i="19"/>
  <c r="P64" i="19"/>
  <c r="F64" i="19"/>
  <c r="P87" i="19"/>
  <c r="F87" i="19"/>
  <c r="P93" i="19"/>
  <c r="F93" i="19"/>
  <c r="P70" i="19"/>
  <c r="F70" i="19"/>
  <c r="P105" i="19"/>
  <c r="P90" i="19"/>
  <c r="P94" i="19"/>
  <c r="P95" i="19"/>
  <c r="X95" i="19"/>
  <c r="P61" i="19"/>
  <c r="X61" i="19"/>
  <c r="P58" i="19"/>
  <c r="X58" i="19"/>
  <c r="W58" i="19"/>
  <c r="P78" i="19"/>
  <c r="F78" i="19"/>
  <c r="P85" i="19"/>
  <c r="P88" i="19"/>
  <c r="P75" i="19"/>
  <c r="X75" i="19"/>
  <c r="X78" i="19"/>
  <c r="F92" i="19"/>
  <c r="X92" i="19"/>
  <c r="X104" i="19"/>
  <c r="F104" i="19"/>
  <c r="F96" i="19"/>
  <c r="X96" i="19"/>
  <c r="X71" i="19"/>
  <c r="F102" i="19"/>
  <c r="X102" i="19"/>
  <c r="X103" i="19"/>
  <c r="F103" i="19"/>
  <c r="F89" i="19"/>
  <c r="X89" i="19"/>
  <c r="F81" i="19"/>
  <c r="X81" i="19"/>
  <c r="X76" i="19"/>
  <c r="F76" i="19"/>
  <c r="X67" i="19"/>
  <c r="F67" i="19"/>
  <c r="X64" i="19"/>
  <c r="F68" i="19"/>
  <c r="X68" i="19"/>
  <c r="X93" i="19"/>
  <c r="X91" i="19"/>
  <c r="F91" i="19"/>
  <c r="F105" i="19"/>
  <c r="X105" i="19"/>
  <c r="X98" i="19"/>
  <c r="F98" i="19"/>
  <c r="X84" i="19"/>
  <c r="F84" i="19"/>
  <c r="X86" i="19"/>
  <c r="F86" i="19"/>
  <c r="F62" i="19"/>
  <c r="X62" i="19"/>
  <c r="X90" i="19"/>
  <c r="F90" i="19"/>
  <c r="X94" i="19"/>
  <c r="F94" i="19"/>
  <c r="X83" i="19"/>
  <c r="F83" i="19"/>
  <c r="X59" i="19"/>
  <c r="F59" i="19"/>
  <c r="F72" i="19"/>
  <c r="X72" i="19"/>
  <c r="F74" i="19"/>
  <c r="X74" i="19"/>
  <c r="F56" i="19"/>
  <c r="X56" i="19"/>
  <c r="X88" i="19"/>
  <c r="F88" i="19"/>
  <c r="F85" i="19"/>
  <c r="X85" i="19"/>
  <c r="F82" i="19"/>
  <c r="X82" i="19"/>
  <c r="X80" i="19"/>
  <c r="F80" i="19"/>
  <c r="F57" i="19"/>
  <c r="X57" i="19"/>
  <c r="F97" i="19"/>
  <c r="X97" i="19"/>
  <c r="X79" i="19"/>
  <c r="F79" i="19"/>
  <c r="F63" i="19"/>
  <c r="X63" i="19"/>
  <c r="X69" i="19"/>
  <c r="F69" i="19"/>
  <c r="X73" i="19"/>
  <c r="F73" i="19"/>
  <c r="X99" i="19"/>
  <c r="F99" i="19"/>
  <c r="X101" i="19"/>
  <c r="F101" i="19"/>
  <c r="F60" i="19"/>
  <c r="X60" i="19"/>
  <c r="X66" i="19"/>
  <c r="F66" i="19"/>
  <c r="BJ59" i="19"/>
  <c r="BJ63" i="19"/>
  <c r="BJ75" i="19"/>
  <c r="BJ68" i="19"/>
  <c r="BJ57" i="19"/>
  <c r="BJ61" i="19"/>
  <c r="BJ64" i="19"/>
  <c r="BJ56" i="19"/>
  <c r="BJ65" i="19"/>
  <c r="BJ73" i="19"/>
  <c r="BJ74" i="19"/>
  <c r="BJ58" i="19"/>
  <c r="BJ67" i="19"/>
  <c r="BJ60" i="19"/>
  <c r="I40" i="19"/>
  <c r="BJ62" i="19"/>
  <c r="BJ77" i="19"/>
  <c r="BJ82" i="19"/>
  <c r="BJ84" i="19"/>
  <c r="BJ79" i="19"/>
  <c r="BJ80" i="19"/>
  <c r="BJ88" i="19"/>
  <c r="BJ66" i="19"/>
  <c r="BJ69" i="19"/>
  <c r="BJ71" i="19"/>
  <c r="BJ86" i="19"/>
  <c r="BJ81" i="19"/>
  <c r="BJ78" i="19"/>
  <c r="BJ83" i="19"/>
  <c r="BJ70" i="19"/>
  <c r="BJ72" i="19"/>
  <c r="BJ76" i="19"/>
  <c r="Q70" i="19"/>
  <c r="BJ87" i="19"/>
  <c r="BJ96" i="19"/>
  <c r="BJ97" i="19"/>
  <c r="BJ100" i="19"/>
  <c r="BJ98" i="19"/>
  <c r="BJ99" i="19"/>
  <c r="BJ85" i="19"/>
  <c r="BJ90" i="19"/>
  <c r="BJ105" i="19"/>
  <c r="BJ89" i="19"/>
  <c r="BJ94" i="19"/>
  <c r="BJ92" i="19"/>
  <c r="BJ93" i="19"/>
  <c r="BJ95" i="19"/>
  <c r="BJ101" i="19"/>
  <c r="BJ91" i="19"/>
  <c r="BJ102" i="19"/>
  <c r="BJ104" i="19"/>
  <c r="BJ103" i="19"/>
  <c r="BL66" i="19"/>
  <c r="BN66" i="19"/>
  <c r="BL77" i="19"/>
  <c r="BN77" i="19"/>
  <c r="Q77" i="19"/>
  <c r="BL56" i="19"/>
  <c r="BN56" i="19"/>
  <c r="BL61" i="19"/>
  <c r="BN61" i="19"/>
  <c r="BL69" i="19"/>
  <c r="BN69" i="19"/>
  <c r="BL58" i="19"/>
  <c r="BN58" i="19"/>
  <c r="Q58" i="19"/>
  <c r="BL62" i="19"/>
  <c r="BN62" i="19"/>
  <c r="BL73" i="19"/>
  <c r="BN73" i="19"/>
  <c r="BL57" i="19"/>
  <c r="BN57" i="19"/>
  <c r="Q57" i="19"/>
  <c r="BL60" i="19"/>
  <c r="BN60" i="19"/>
  <c r="Q60" i="19"/>
  <c r="BL64" i="19"/>
  <c r="BN64" i="19"/>
  <c r="Q64" i="19"/>
  <c r="BL59" i="19"/>
  <c r="BN59" i="19"/>
  <c r="BL67" i="19"/>
  <c r="BN67" i="19"/>
  <c r="Q67" i="19"/>
  <c r="BL65" i="19"/>
  <c r="BN65" i="19"/>
  <c r="BL74" i="19"/>
  <c r="BN74" i="19"/>
  <c r="BL79" i="19"/>
  <c r="BN79" i="19"/>
  <c r="BL84" i="19"/>
  <c r="BN84" i="19"/>
  <c r="Q84" i="19"/>
  <c r="BL88" i="19"/>
  <c r="BN88" i="19"/>
  <c r="Q88" i="19"/>
  <c r="BL89" i="19"/>
  <c r="BN89" i="19"/>
  <c r="BL70" i="19"/>
  <c r="BN70" i="19"/>
  <c r="BL72" i="19"/>
  <c r="BN72" i="19"/>
  <c r="Q72" i="19"/>
  <c r="BL75" i="19"/>
  <c r="BN75" i="19"/>
  <c r="BL78" i="19"/>
  <c r="BN78" i="19"/>
  <c r="Q78" i="19"/>
  <c r="BL82" i="19"/>
  <c r="BN82" i="19"/>
  <c r="Q82" i="19"/>
  <c r="BL83" i="19"/>
  <c r="BN83" i="19"/>
  <c r="Q83" i="19"/>
  <c r="BL80" i="19"/>
  <c r="BN80" i="19"/>
  <c r="Q80" i="19"/>
  <c r="BL81" i="19"/>
  <c r="BN81" i="19"/>
  <c r="Q81" i="19"/>
  <c r="BL85" i="19"/>
  <c r="BN85" i="19"/>
  <c r="BL68" i="19"/>
  <c r="BN68" i="19"/>
  <c r="Q68" i="19"/>
  <c r="BL76" i="19"/>
  <c r="BN76" i="19"/>
  <c r="BL63" i="19"/>
  <c r="BN63" i="19"/>
  <c r="BL71" i="19"/>
  <c r="BN71" i="19"/>
  <c r="BL86" i="19"/>
  <c r="BN86" i="19"/>
  <c r="Q86" i="19"/>
  <c r="BL87" i="19"/>
  <c r="BN87" i="19"/>
  <c r="Q87" i="19"/>
  <c r="BL96" i="19"/>
  <c r="BN96" i="19"/>
  <c r="Q96" i="19"/>
  <c r="BL95" i="19"/>
  <c r="BN95" i="19"/>
  <c r="BL105" i="19"/>
  <c r="BN105" i="19"/>
  <c r="Q105" i="19"/>
  <c r="BL90" i="19"/>
  <c r="BN90" i="19"/>
  <c r="Q90" i="19"/>
  <c r="BL101" i="19"/>
  <c r="BN101" i="19"/>
  <c r="BL99" i="19"/>
  <c r="BN99" i="19"/>
  <c r="Q99" i="19"/>
  <c r="BL94" i="19"/>
  <c r="BN94" i="19"/>
  <c r="Q94" i="19"/>
  <c r="BL97" i="19"/>
  <c r="BN97" i="19"/>
  <c r="BL91" i="19"/>
  <c r="BN91" i="19"/>
  <c r="BL93" i="19"/>
  <c r="BN93" i="19"/>
  <c r="BL98" i="19"/>
  <c r="BN98" i="19"/>
  <c r="BL102" i="19"/>
  <c r="BN102" i="19"/>
  <c r="BL103" i="19"/>
  <c r="BN103" i="19"/>
  <c r="Q103" i="19"/>
  <c r="BL100" i="19"/>
  <c r="BN100" i="19"/>
  <c r="Q100" i="19"/>
  <c r="BL92" i="19"/>
  <c r="BN92" i="19"/>
  <c r="Q92" i="19"/>
  <c r="BL104" i="19"/>
  <c r="BN104" i="19"/>
  <c r="Q104" i="19"/>
  <c r="F77" i="19"/>
  <c r="X77" i="19"/>
  <c r="Q66" i="19"/>
  <c r="F58" i="19"/>
  <c r="Q101" i="19"/>
  <c r="Q63" i="19"/>
  <c r="Q62" i="19"/>
  <c r="Y62" i="19"/>
  <c r="Q73" i="19"/>
  <c r="Q65" i="19"/>
  <c r="Y65" i="19"/>
  <c r="X87" i="19"/>
  <c r="Q76" i="19"/>
  <c r="Q102" i="19"/>
  <c r="X65" i="19"/>
  <c r="F100" i="19"/>
  <c r="F95" i="19"/>
  <c r="Q98" i="19"/>
  <c r="Q89" i="19"/>
  <c r="Y89" i="19"/>
  <c r="F75" i="19"/>
  <c r="Q69" i="19"/>
  <c r="Y69" i="19"/>
  <c r="Q71" i="19"/>
  <c r="F61" i="19"/>
  <c r="Q56" i="19"/>
  <c r="Y56" i="19"/>
  <c r="Q75" i="19"/>
  <c r="Y75" i="19"/>
  <c r="Q93" i="19"/>
  <c r="Q95" i="19"/>
  <c r="G95" i="19"/>
  <c r="Q85" i="19"/>
  <c r="Y85" i="19"/>
  <c r="Q59" i="19"/>
  <c r="Y59" i="19"/>
  <c r="Q61" i="19"/>
  <c r="Q91" i="19"/>
  <c r="G91" i="19"/>
  <c r="Q97" i="19"/>
  <c r="X70" i="19"/>
  <c r="Q74" i="19"/>
  <c r="Y74" i="19"/>
  <c r="Q79" i="19"/>
  <c r="G79" i="19"/>
  <c r="G94" i="19"/>
  <c r="Y94" i="19"/>
  <c r="Y103" i="19"/>
  <c r="G103" i="19"/>
  <c r="Y63" i="19"/>
  <c r="G63" i="19"/>
  <c r="Y78" i="19"/>
  <c r="G78" i="19"/>
  <c r="G102" i="19"/>
  <c r="Y102" i="19"/>
  <c r="G90" i="19"/>
  <c r="Y90" i="19"/>
  <c r="G76" i="19"/>
  <c r="Y76" i="19"/>
  <c r="G65" i="19"/>
  <c r="Y58" i="19"/>
  <c r="G58" i="19"/>
  <c r="Y67" i="19"/>
  <c r="G67" i="19"/>
  <c r="Y57" i="19"/>
  <c r="G57" i="19"/>
  <c r="Y86" i="19"/>
  <c r="G86" i="19"/>
  <c r="Y98" i="19"/>
  <c r="G98" i="19"/>
  <c r="G69" i="19"/>
  <c r="Y95" i="19"/>
  <c r="Y84" i="19"/>
  <c r="G84" i="19"/>
  <c r="Y68" i="19"/>
  <c r="G68" i="19"/>
  <c r="G71" i="19"/>
  <c r="Y71" i="19"/>
  <c r="Y93" i="19"/>
  <c r="G93" i="19"/>
  <c r="G59" i="19"/>
  <c r="Y61" i="19"/>
  <c r="G61" i="19"/>
  <c r="Y91" i="19"/>
  <c r="G96" i="19"/>
  <c r="Y96" i="19"/>
  <c r="Y64" i="19"/>
  <c r="G64" i="19"/>
  <c r="Y97" i="19"/>
  <c r="G97" i="19"/>
  <c r="Y66" i="19"/>
  <c r="G66" i="19"/>
  <c r="G100" i="19"/>
  <c r="Y100" i="19"/>
  <c r="Y92" i="19"/>
  <c r="G92" i="19"/>
  <c r="Y82" i="19"/>
  <c r="G82" i="19"/>
  <c r="G101" i="19"/>
  <c r="Y101" i="19"/>
  <c r="G80" i="19"/>
  <c r="Y80" i="19"/>
  <c r="G77" i="19"/>
  <c r="Y77" i="19"/>
  <c r="Y99" i="19"/>
  <c r="G99" i="19"/>
  <c r="Y104" i="19"/>
  <c r="G104" i="19"/>
  <c r="Y83" i="19"/>
  <c r="G83" i="19"/>
  <c r="Y81" i="19"/>
  <c r="G81" i="19"/>
  <c r="Y105" i="19"/>
  <c r="G105" i="19"/>
  <c r="Y70" i="19"/>
  <c r="G70" i="19"/>
  <c r="Y60" i="19"/>
  <c r="G60" i="19"/>
  <c r="G73" i="19"/>
  <c r="Y73" i="19"/>
  <c r="G88" i="19"/>
  <c r="Y88" i="19"/>
  <c r="Y72" i="19"/>
  <c r="G72" i="19"/>
  <c r="G87" i="19"/>
  <c r="Y87" i="19"/>
  <c r="G62" i="19"/>
  <c r="G56" i="19"/>
  <c r="G74" i="19"/>
  <c r="G89" i="19"/>
  <c r="G85" i="19"/>
  <c r="G75" i="19"/>
  <c r="Y79" i="19"/>
</calcChain>
</file>

<file path=xl/sharedStrings.xml><?xml version="1.0" encoding="utf-8"?>
<sst xmlns="http://schemas.openxmlformats.org/spreadsheetml/2006/main" count="572" uniqueCount="323">
  <si>
    <t>回転数</t>
    <rPh sb="0" eb="3">
      <t>カイテンスウ</t>
    </rPh>
    <phoneticPr fontId="2"/>
  </si>
  <si>
    <t>mm</t>
    <phoneticPr fontId="2"/>
  </si>
  <si>
    <t>タイヤ径</t>
  </si>
  <si>
    <t>mm</t>
  </si>
  <si>
    <t>L</t>
    <phoneticPr fontId="2"/>
  </si>
  <si>
    <t>スカイライン</t>
    <phoneticPr fontId="2"/>
  </si>
  <si>
    <t>外径</t>
  </si>
  <si>
    <t>m</t>
  </si>
  <si>
    <t>内径</t>
  </si>
  <si>
    <t>材料密度</t>
  </si>
  <si>
    <t>ρ</t>
  </si>
  <si>
    <t>Kg/m^3</t>
  </si>
  <si>
    <t>Kg</t>
  </si>
  <si>
    <t>Kg･m^2</t>
  </si>
  <si>
    <t>Nm</t>
    <phoneticPr fontId="2"/>
  </si>
  <si>
    <t>車重</t>
    <rPh sb="0" eb="1">
      <t>シャ</t>
    </rPh>
    <rPh sb="1" eb="2">
      <t>ジュウ</t>
    </rPh>
    <phoneticPr fontId="2"/>
  </si>
  <si>
    <t>m/s</t>
  </si>
  <si>
    <t>W</t>
  </si>
  <si>
    <t>運動エネルギー</t>
  </si>
  <si>
    <t>J</t>
  </si>
  <si>
    <t>t</t>
  </si>
  <si>
    <t>V</t>
  </si>
  <si>
    <t>v</t>
  </si>
  <si>
    <t>a</t>
  </si>
  <si>
    <t>m/s^2</t>
  </si>
  <si>
    <t>kg</t>
  </si>
  <si>
    <t>Hz</t>
  </si>
  <si>
    <t>標準</t>
  </si>
  <si>
    <t>ホイール質量1/2</t>
  </si>
  <si>
    <t>タイヤばね1/2</t>
  </si>
  <si>
    <t>サスばね1/2</t>
  </si>
  <si>
    <t>m2</t>
  </si>
  <si>
    <t>m1</t>
  </si>
  <si>
    <t>k2</t>
  </si>
  <si>
    <t>N/m</t>
  </si>
  <si>
    <t>k1</t>
  </si>
  <si>
    <t>ω</t>
  </si>
  <si>
    <t>rad/s</t>
  </si>
  <si>
    <t>サイズ</t>
  </si>
  <si>
    <t>リム幅</t>
  </si>
  <si>
    <t>リム肉厚</t>
  </si>
  <si>
    <t>リム質量</t>
  </si>
  <si>
    <t>慣性モーメント</t>
  </si>
  <si>
    <t>損失トルク※</t>
  </si>
  <si>
    <t>インチ</t>
  </si>
  <si>
    <t>kg･m^2</t>
  </si>
  <si>
    <t>Nm</t>
  </si>
  <si>
    <t>m^3</t>
  </si>
  <si>
    <t>※φ640のタイヤを使って0-100km/hを10秒で加速した場合</t>
  </si>
  <si>
    <t>インチサイズ</t>
  </si>
  <si>
    <t>inch</t>
  </si>
  <si>
    <t>高さ</t>
  </si>
  <si>
    <t>アルミ</t>
  </si>
  <si>
    <t>加速時間</t>
  </si>
  <si>
    <t>時速</t>
  </si>
  <si>
    <t>回転数</t>
  </si>
  <si>
    <t>sec</t>
  </si>
  <si>
    <t>km/h</t>
  </si>
  <si>
    <t>r/min</t>
  </si>
  <si>
    <t>N</t>
  </si>
  <si>
    <t>運動エネルギーからの検算</t>
  </si>
  <si>
    <t>車重</t>
  </si>
  <si>
    <t>加速度</t>
  </si>
  <si>
    <t>力</t>
  </si>
  <si>
    <t>ピーク損失出力</t>
  </si>
  <si>
    <t>車輪の駆動損失</t>
  </si>
  <si>
    <t>ピーク電力</t>
  </si>
  <si>
    <t>D</t>
  </si>
  <si>
    <t>n</t>
  </si>
  <si>
    <t>F</t>
  </si>
  <si>
    <t>馬力</t>
  </si>
  <si>
    <t>損失トルク</t>
  </si>
  <si>
    <t>駆動損失</t>
  </si>
  <si>
    <t>馬力損失</t>
  </si>
  <si>
    <t>角度変化速度</t>
    <rPh sb="0" eb="2">
      <t>カクド</t>
    </rPh>
    <rPh sb="2" eb="4">
      <t>ヘンカ</t>
    </rPh>
    <rPh sb="4" eb="6">
      <t>ソクド</t>
    </rPh>
    <phoneticPr fontId="2"/>
  </si>
  <si>
    <t>deg/s</t>
    <phoneticPr fontId="2"/>
  </si>
  <si>
    <t>回転速度</t>
    <rPh sb="0" eb="2">
      <t>カイテン</t>
    </rPh>
    <rPh sb="2" eb="4">
      <t>ソクド</t>
    </rPh>
    <phoneticPr fontId="2"/>
  </si>
  <si>
    <t>ジャイロＭ</t>
    <phoneticPr fontId="2"/>
  </si>
  <si>
    <t>馬力</t>
    <rPh sb="0" eb="2">
      <t>バリキ</t>
    </rPh>
    <phoneticPr fontId="2"/>
  </si>
  <si>
    <t>Tl</t>
    <phoneticPr fontId="2"/>
  </si>
  <si>
    <t>m1*a</t>
    <phoneticPr fontId="2"/>
  </si>
  <si>
    <t>F*v</t>
    <phoneticPr fontId="2"/>
  </si>
  <si>
    <t>F*D/2</t>
    <phoneticPr fontId="2"/>
  </si>
  <si>
    <t>v/t</t>
    <phoneticPr fontId="2"/>
  </si>
  <si>
    <t>(1000*V/60)/(π*D)</t>
    <phoneticPr fontId="2"/>
  </si>
  <si>
    <t>1000*V/(60*60)</t>
    <phoneticPr fontId="2"/>
  </si>
  <si>
    <t>走行速度</t>
    <rPh sb="0" eb="2">
      <t>ソウコウ</t>
    </rPh>
    <phoneticPr fontId="2"/>
  </si>
  <si>
    <t>三角形の面積として計算</t>
    <rPh sb="0" eb="3">
      <t>サンカクケイ</t>
    </rPh>
    <rPh sb="4" eb="6">
      <t>メンセキ</t>
    </rPh>
    <rPh sb="9" eb="11">
      <t>ケイサン</t>
    </rPh>
    <phoneticPr fontId="2"/>
  </si>
  <si>
    <t>m1*v^2/2</t>
    <phoneticPr fontId="2"/>
  </si>
  <si>
    <t>2*J/t</t>
    <phoneticPr fontId="2"/>
  </si>
  <si>
    <t>ガソリン数量</t>
    <rPh sb="4" eb="6">
      <t>スウリョウ</t>
    </rPh>
    <phoneticPr fontId="2"/>
  </si>
  <si>
    <t>比重</t>
    <rPh sb="0" eb="2">
      <t>ヒジュウ</t>
    </rPh>
    <phoneticPr fontId="2"/>
  </si>
  <si>
    <t>測定日</t>
    <rPh sb="0" eb="2">
      <t>ソクテイ</t>
    </rPh>
    <rPh sb="2" eb="3">
      <t>ビ</t>
    </rPh>
    <phoneticPr fontId="2"/>
  </si>
  <si>
    <t>プラッツ</t>
    <phoneticPr fontId="2"/>
  </si>
  <si>
    <t>ヨコハマ DNA ECOS 175/65R14</t>
    <phoneticPr fontId="2"/>
  </si>
  <si>
    <t>質量</t>
    <rPh sb="0" eb="2">
      <t>シツリョウ</t>
    </rPh>
    <phoneticPr fontId="2"/>
  </si>
  <si>
    <t>kg</t>
    <phoneticPr fontId="2"/>
  </si>
  <si>
    <t>荷重なし</t>
    <rPh sb="0" eb="2">
      <t>カジュウ</t>
    </rPh>
    <phoneticPr fontId="2"/>
  </si>
  <si>
    <t>荷重あり</t>
    <rPh sb="0" eb="2">
      <t>カジュウ</t>
    </rPh>
    <phoneticPr fontId="2"/>
  </si>
  <si>
    <t>m</t>
    <phoneticPr fontId="2"/>
  </si>
  <si>
    <t>ばね定数</t>
    <rPh sb="2" eb="4">
      <t>テイスウ</t>
    </rPh>
    <phoneticPr fontId="2"/>
  </si>
  <si>
    <t>N/m</t>
    <phoneticPr fontId="2"/>
  </si>
  <si>
    <t>差分</t>
    <rPh sb="0" eb="2">
      <t>サブン</t>
    </rPh>
    <phoneticPr fontId="2"/>
  </si>
  <si>
    <t>ホイールベース</t>
    <phoneticPr fontId="2"/>
  </si>
  <si>
    <t>kg</t>
    <phoneticPr fontId="2"/>
  </si>
  <si>
    <t>質量増加分</t>
    <rPh sb="0" eb="2">
      <t>シツリョウ</t>
    </rPh>
    <rPh sb="2" eb="5">
      <t>ゾウカブン</t>
    </rPh>
    <phoneticPr fontId="2"/>
  </si>
  <si>
    <t>rad/s^2</t>
    <phoneticPr fontId="2"/>
  </si>
  <si>
    <t>N</t>
    <phoneticPr fontId="2"/>
  </si>
  <si>
    <t>Hz</t>
    <phoneticPr fontId="2"/>
  </si>
  <si>
    <t>角変化周波数</t>
    <rPh sb="0" eb="1">
      <t>カク</t>
    </rPh>
    <rPh sb="1" eb="3">
      <t>ヘンカ</t>
    </rPh>
    <rPh sb="3" eb="6">
      <t>シュウハスウ</t>
    </rPh>
    <phoneticPr fontId="2"/>
  </si>
  <si>
    <t>deg</t>
    <phoneticPr fontId="2"/>
  </si>
  <si>
    <t>rad</t>
    <phoneticPr fontId="2"/>
  </si>
  <si>
    <t>rad/s</t>
    <phoneticPr fontId="2"/>
  </si>
  <si>
    <t>この周波数で交互にハンドルを切った場合を想定</t>
    <rPh sb="2" eb="5">
      <t>シュウハスウ</t>
    </rPh>
    <rPh sb="6" eb="8">
      <t>コウゴ</t>
    </rPh>
    <rPh sb="14" eb="15">
      <t>キ</t>
    </rPh>
    <rPh sb="17" eb="19">
      <t>バアイ</t>
    </rPh>
    <rPh sb="20" eb="22">
      <t>ソウテイ</t>
    </rPh>
    <phoneticPr fontId="2"/>
  </si>
  <si>
    <t>進行方向の角変位</t>
    <rPh sb="0" eb="2">
      <t>シンコウ</t>
    </rPh>
    <rPh sb="2" eb="4">
      <t>ホウコウ</t>
    </rPh>
    <rPh sb="5" eb="6">
      <t>カクド</t>
    </rPh>
    <rPh sb="6" eb="8">
      <t>ヘンイ</t>
    </rPh>
    <phoneticPr fontId="2"/>
  </si>
  <si>
    <t>ブリジストン B500si 205/50R17</t>
    <phoneticPr fontId="2"/>
  </si>
  <si>
    <t>ヨコハマ DNA ECOS 205/55 R16</t>
    <phoneticPr fontId="2"/>
  </si>
  <si>
    <t>空気圧2.4K</t>
    <rPh sb="0" eb="3">
      <t>クウキアツ</t>
    </rPh>
    <phoneticPr fontId="2"/>
  </si>
  <si>
    <t>ころがり抵抗係数</t>
    <rPh sb="4" eb="6">
      <t>テイコウ</t>
    </rPh>
    <rPh sb="6" eb="8">
      <t>ケイスウ</t>
    </rPh>
    <phoneticPr fontId="2"/>
  </si>
  <si>
    <t>μ</t>
    <phoneticPr fontId="2"/>
  </si>
  <si>
    <t>転がり抵抗力</t>
    <rPh sb="0" eb="1">
      <t>コロ</t>
    </rPh>
    <rPh sb="3" eb="6">
      <t>テイコウリョク</t>
    </rPh>
    <phoneticPr fontId="2"/>
  </si>
  <si>
    <t>9.8μm1</t>
    <phoneticPr fontId="2"/>
  </si>
  <si>
    <t>馬力損失</t>
    <rPh sb="0" eb="2">
      <t>バリキ</t>
    </rPh>
    <rPh sb="2" eb="4">
      <t>ソンシツ</t>
    </rPh>
    <phoneticPr fontId="2"/>
  </si>
  <si>
    <t>リムの慣性モーメント</t>
    <rPh sb="3" eb="5">
      <t>カンセイ</t>
    </rPh>
    <phoneticPr fontId="2"/>
  </si>
  <si>
    <t>r/min</t>
    <phoneticPr fontId="2"/>
  </si>
  <si>
    <t>ω</t>
    <phoneticPr fontId="2"/>
  </si>
  <si>
    <t>走行速度</t>
    <rPh sb="0" eb="2">
      <t>ソウコウ</t>
    </rPh>
    <rPh sb="2" eb="4">
      <t>ソクド</t>
    </rPh>
    <phoneticPr fontId="2"/>
  </si>
  <si>
    <t>v</t>
    <phoneticPr fontId="2"/>
  </si>
  <si>
    <t>m/s</t>
    <phoneticPr fontId="2"/>
  </si>
  <si>
    <t>車輪の回転数から車両の走行速度を求める</t>
    <rPh sb="3" eb="6">
      <t>カイテンスウ</t>
    </rPh>
    <rPh sb="8" eb="10">
      <t>シャリョウ</t>
    </rPh>
    <rPh sb="11" eb="13">
      <t>ソウコウ</t>
    </rPh>
    <rPh sb="13" eb="15">
      <t>ソクド</t>
    </rPh>
    <rPh sb="16" eb="17">
      <t>モト</t>
    </rPh>
    <phoneticPr fontId="2"/>
  </si>
  <si>
    <t>πnT/30</t>
    <phoneticPr fontId="2"/>
  </si>
  <si>
    <t>T</t>
    <phoneticPr fontId="2"/>
  </si>
  <si>
    <t>n</t>
    <phoneticPr fontId="2"/>
  </si>
  <si>
    <t>Dω/2</t>
    <phoneticPr fontId="2"/>
  </si>
  <si>
    <t>πn/30</t>
    <phoneticPr fontId="2"/>
  </si>
  <si>
    <t>D</t>
    <phoneticPr fontId="2"/>
  </si>
  <si>
    <t>t</t>
    <phoneticPr fontId="2"/>
  </si>
  <si>
    <t>ころがり抵抗と損失トルクの関係</t>
    <rPh sb="4" eb="6">
      <t>テイコウ</t>
    </rPh>
    <rPh sb="7" eb="9">
      <t>ソンシツ</t>
    </rPh>
    <rPh sb="13" eb="15">
      <t>カンケイ</t>
    </rPh>
    <phoneticPr fontId="2"/>
  </si>
  <si>
    <t>ガソリンの重さ</t>
    <rPh sb="5" eb="6">
      <t>オモ</t>
    </rPh>
    <phoneticPr fontId="2"/>
  </si>
  <si>
    <t>質量</t>
    <rPh sb="0" eb="2">
      <t>シツリョウ</t>
    </rPh>
    <phoneticPr fontId="2"/>
  </si>
  <si>
    <t>重心をホイールベース中央と仮定</t>
    <rPh sb="0" eb="2">
      <t>ジュウシン</t>
    </rPh>
    <rPh sb="10" eb="12">
      <t>チュウオウ</t>
    </rPh>
    <rPh sb="13" eb="15">
      <t>カテイ</t>
    </rPh>
    <phoneticPr fontId="2"/>
  </si>
  <si>
    <t>空気圧2.2K</t>
    <rPh sb="0" eb="3">
      <t>クウキアツ</t>
    </rPh>
    <phoneticPr fontId="2"/>
  </si>
  <si>
    <t>質量</t>
    <rPh sb="0" eb="2">
      <t>シツリョウ</t>
    </rPh>
    <phoneticPr fontId="2"/>
  </si>
  <si>
    <t>荷重なし</t>
    <rPh sb="0" eb="2">
      <t>カジュウ</t>
    </rPh>
    <phoneticPr fontId="2"/>
  </si>
  <si>
    <t>差分</t>
    <rPh sb="0" eb="2">
      <t>サブン</t>
    </rPh>
    <phoneticPr fontId="2"/>
  </si>
  <si>
    <t>ばね定数</t>
    <rPh sb="2" eb="4">
      <t>テイスウ</t>
    </rPh>
    <phoneticPr fontId="2"/>
  </si>
  <si>
    <t>N/m</t>
    <phoneticPr fontId="2"/>
  </si>
  <si>
    <t>フロントノーズの回頭性</t>
    <rPh sb="8" eb="10">
      <t>カイトウ</t>
    </rPh>
    <rPh sb="10" eb="11">
      <t>セイ</t>
    </rPh>
    <phoneticPr fontId="2"/>
  </si>
  <si>
    <t>ホイールのジャイロモーメント</t>
    <phoneticPr fontId="2"/>
  </si>
  <si>
    <t>損失トルクから馬力損失を求める</t>
    <rPh sb="0" eb="2">
      <t>ソンシツ</t>
    </rPh>
    <rPh sb="7" eb="9">
      <t>バリキ</t>
    </rPh>
    <rPh sb="9" eb="11">
      <t>ソンシツ</t>
    </rPh>
    <rPh sb="12" eb="13">
      <t>モト</t>
    </rPh>
    <phoneticPr fontId="2"/>
  </si>
  <si>
    <t>走行速度</t>
    <rPh sb="0" eb="2">
      <t>ソウコウ</t>
    </rPh>
    <rPh sb="2" eb="4">
      <t>ソクド</t>
    </rPh>
    <phoneticPr fontId="2"/>
  </si>
  <si>
    <t>km/h</t>
    <phoneticPr fontId="2"/>
  </si>
  <si>
    <t>走行速度からタイヤ回転数を算出</t>
    <rPh sb="0" eb="2">
      <t>ソウコウ</t>
    </rPh>
    <rPh sb="2" eb="4">
      <t>ソクド</t>
    </rPh>
    <phoneticPr fontId="2"/>
  </si>
  <si>
    <t>リム平均肉厚</t>
    <rPh sb="2" eb="4">
      <t>ヘイキン</t>
    </rPh>
    <rPh sb="4" eb="6">
      <t>ニクアツ</t>
    </rPh>
    <phoneticPr fontId="2"/>
  </si>
  <si>
    <t>リム部質量</t>
    <rPh sb="2" eb="3">
      <t>ブ</t>
    </rPh>
    <phoneticPr fontId="2"/>
  </si>
  <si>
    <t>タイヤの空気体積</t>
    <phoneticPr fontId="2"/>
  </si>
  <si>
    <t>参考値</t>
    <rPh sb="0" eb="3">
      <t>サンコウチ</t>
    </rPh>
    <phoneticPr fontId="2"/>
  </si>
  <si>
    <t>参考計算例</t>
    <rPh sb="0" eb="2">
      <t>サンコウ</t>
    </rPh>
    <rPh sb="2" eb="5">
      <t>ケイサンレイ</t>
    </rPh>
    <phoneticPr fontId="2"/>
  </si>
  <si>
    <t>慣性モーメントから損失トルクを求める</t>
    <rPh sb="0" eb="2">
      <t>カンセイ</t>
    </rPh>
    <rPh sb="9" eb="11">
      <t>ソンシツ</t>
    </rPh>
    <rPh sb="15" eb="16">
      <t>モト</t>
    </rPh>
    <phoneticPr fontId="2"/>
  </si>
  <si>
    <t>慣性モーメント</t>
    <rPh sb="0" eb="2">
      <t>カンセイ</t>
    </rPh>
    <phoneticPr fontId="2"/>
  </si>
  <si>
    <t>I</t>
    <phoneticPr fontId="2"/>
  </si>
  <si>
    <t>角加速度</t>
    <rPh sb="0" eb="1">
      <t>カク</t>
    </rPh>
    <rPh sb="1" eb="4">
      <t>カソクド</t>
    </rPh>
    <phoneticPr fontId="2"/>
  </si>
  <si>
    <t>ω2</t>
    <phoneticPr fontId="2"/>
  </si>
  <si>
    <t>加速時間</t>
    <rPh sb="0" eb="2">
      <t>カソク</t>
    </rPh>
    <rPh sb="2" eb="4">
      <t>ジカン</t>
    </rPh>
    <phoneticPr fontId="2"/>
  </si>
  <si>
    <t>sec</t>
    <phoneticPr fontId="2"/>
  </si>
  <si>
    <t>角速度</t>
    <rPh sb="0" eb="1">
      <t>カク</t>
    </rPh>
    <rPh sb="1" eb="3">
      <t>ソクド</t>
    </rPh>
    <phoneticPr fontId="2"/>
  </si>
  <si>
    <t>ばね上等価質量</t>
    <rPh sb="2" eb="3">
      <t>ウエ</t>
    </rPh>
    <rPh sb="3" eb="5">
      <t>トウカ</t>
    </rPh>
    <rPh sb="5" eb="7">
      <t>シツリョウ</t>
    </rPh>
    <phoneticPr fontId="2"/>
  </si>
  <si>
    <t>加速度</t>
    <rPh sb="0" eb="3">
      <t>カソクド</t>
    </rPh>
    <phoneticPr fontId="2"/>
  </si>
  <si>
    <t>a</t>
    <phoneticPr fontId="2"/>
  </si>
  <si>
    <t>m/s^2</t>
    <phoneticPr fontId="2"/>
  </si>
  <si>
    <t>(1000*V/60)/(π*D)</t>
    <phoneticPr fontId="2"/>
  </si>
  <si>
    <t>2*v/D</t>
    <phoneticPr fontId="2"/>
  </si>
  <si>
    <t>ω/t</t>
    <phoneticPr fontId="2"/>
  </si>
  <si>
    <t>I*ω2</t>
    <phoneticPr fontId="2"/>
  </si>
  <si>
    <t>W/735</t>
    <phoneticPr fontId="2"/>
  </si>
  <si>
    <t>2*T/(a*D)</t>
    <phoneticPr fontId="2"/>
  </si>
  <si>
    <t>Di</t>
    <phoneticPr fontId="2"/>
  </si>
  <si>
    <t>Wi</t>
    <phoneticPr fontId="2"/>
  </si>
  <si>
    <t>ti</t>
    <phoneticPr fontId="2"/>
  </si>
  <si>
    <t>Di*0.0254</t>
    <phoneticPr fontId="2"/>
  </si>
  <si>
    <t>Wi*0.0254</t>
    <phoneticPr fontId="2"/>
  </si>
  <si>
    <t>Fd1-2*t</t>
    <phoneticPr fontId="2"/>
  </si>
  <si>
    <t>鉄</t>
    <rPh sb="0" eb="1">
      <t>テツ</t>
    </rPh>
    <phoneticPr fontId="2"/>
  </si>
  <si>
    <t>4*I/D^2</t>
    <phoneticPr fontId="2"/>
  </si>
  <si>
    <t>回転慣性モーメント</t>
    <rPh sb="0" eb="2">
      <t>カイテン</t>
    </rPh>
    <phoneticPr fontId="2"/>
  </si>
  <si>
    <t>I2</t>
    <phoneticPr fontId="2"/>
  </si>
  <si>
    <t>I1</t>
    <phoneticPr fontId="2"/>
  </si>
  <si>
    <t>外半径</t>
    <rPh sb="0" eb="1">
      <t>ソト</t>
    </rPh>
    <rPh sb="1" eb="3">
      <t>ハンケイ</t>
    </rPh>
    <phoneticPr fontId="2"/>
  </si>
  <si>
    <t>内半径</t>
    <rPh sb="0" eb="1">
      <t>ウチ</t>
    </rPh>
    <rPh sb="1" eb="3">
      <t>ハンケイ</t>
    </rPh>
    <phoneticPr fontId="2"/>
  </si>
  <si>
    <t>d1</t>
    <phoneticPr fontId="2"/>
  </si>
  <si>
    <t>d2</t>
    <phoneticPr fontId="2"/>
  </si>
  <si>
    <t>r1</t>
    <phoneticPr fontId="2"/>
  </si>
  <si>
    <t>r2</t>
    <phoneticPr fontId="2"/>
  </si>
  <si>
    <t>h</t>
    <phoneticPr fontId="2"/>
  </si>
  <si>
    <t xml:space="preserve">ρ*π*(d1^2-d2^2)*h/4 </t>
    <phoneticPr fontId="2"/>
  </si>
  <si>
    <t>m*(r1^2+r2^2)/2</t>
    <phoneticPr fontId="2"/>
  </si>
  <si>
    <t>m*(r1^2+r2^2+h^2/3)/4</t>
    <phoneticPr fontId="2"/>
  </si>
  <si>
    <t>倒れ慣性モーメント</t>
    <rPh sb="0" eb="1">
      <t>タオ</t>
    </rPh>
    <phoneticPr fontId="2"/>
  </si>
  <si>
    <t>タイヤ部分にかかる反力</t>
    <rPh sb="3" eb="5">
      <t>ブブン</t>
    </rPh>
    <rPh sb="9" eb="11">
      <t>ハンリョク</t>
    </rPh>
    <phoneticPr fontId="2"/>
  </si>
  <si>
    <t>ホイールのジャイロモーメント2</t>
    <phoneticPr fontId="2"/>
  </si>
  <si>
    <t>一定速度でハンドルを切った場合</t>
    <rPh sb="0" eb="2">
      <t>イッテイ</t>
    </rPh>
    <rPh sb="2" eb="4">
      <t>ソクド</t>
    </rPh>
    <rPh sb="10" eb="11">
      <t>キ</t>
    </rPh>
    <rPh sb="13" eb="15">
      <t>バアイ</t>
    </rPh>
    <phoneticPr fontId="2"/>
  </si>
  <si>
    <t>2*π*θ/360</t>
    <phoneticPr fontId="2"/>
  </si>
  <si>
    <t>θ</t>
  </si>
  <si>
    <t>θdot</t>
    <phoneticPr fontId="2"/>
  </si>
  <si>
    <t>ωdot</t>
    <phoneticPr fontId="2"/>
  </si>
  <si>
    <t>ωdot2</t>
    <phoneticPr fontId="2"/>
  </si>
  <si>
    <t>f</t>
    <phoneticPr fontId="2"/>
  </si>
  <si>
    <t>F</t>
    <phoneticPr fontId="2"/>
  </si>
  <si>
    <t>ωn</t>
    <phoneticPr fontId="2"/>
  </si>
  <si>
    <t>V</t>
    <phoneticPr fontId="2"/>
  </si>
  <si>
    <t>Mj</t>
    <phoneticPr fontId="2"/>
  </si>
  <si>
    <t>Ms</t>
    <phoneticPr fontId="2"/>
  </si>
  <si>
    <t>2πωf</t>
    <phoneticPr fontId="2"/>
  </si>
  <si>
    <t>I1･ωn･ωdot</t>
    <phoneticPr fontId="2"/>
  </si>
  <si>
    <t>2πωdot･f</t>
    <phoneticPr fontId="2"/>
  </si>
  <si>
    <t>ホイルのステアリング軸回りの慣性による反力</t>
    <rPh sb="10" eb="11">
      <t>ジク</t>
    </rPh>
    <rPh sb="11" eb="12">
      <t>マワ</t>
    </rPh>
    <rPh sb="14" eb="16">
      <t>カンセイ</t>
    </rPh>
    <rPh sb="19" eb="21">
      <t>ハンリョク</t>
    </rPh>
    <phoneticPr fontId="2"/>
  </si>
  <si>
    <t>ステアリング軸回り慣性</t>
    <phoneticPr fontId="2"/>
  </si>
  <si>
    <t>周波数ｆで±θステアリング角が変化した場合</t>
    <rPh sb="0" eb="3">
      <t>シュウハスウ</t>
    </rPh>
    <rPh sb="13" eb="14">
      <t>カク</t>
    </rPh>
    <rPh sb="15" eb="17">
      <t>ヘンカ</t>
    </rPh>
    <rPh sb="19" eb="21">
      <t>バアイ</t>
    </rPh>
    <phoneticPr fontId="2"/>
  </si>
  <si>
    <t>ステア角速度</t>
    <rPh sb="3" eb="4">
      <t>カク</t>
    </rPh>
    <rPh sb="4" eb="6">
      <t>ソクド</t>
    </rPh>
    <phoneticPr fontId="2"/>
  </si>
  <si>
    <t>ステア角角加速度</t>
    <rPh sb="3" eb="4">
      <t>カク</t>
    </rPh>
    <rPh sb="4" eb="5">
      <t>カク</t>
    </rPh>
    <rPh sb="5" eb="8">
      <t>カソクド</t>
    </rPh>
    <phoneticPr fontId="2"/>
  </si>
  <si>
    <t>ステア角振幅</t>
    <rPh sb="3" eb="4">
      <t>カク</t>
    </rPh>
    <rPh sb="4" eb="6">
      <t>シンプク</t>
    </rPh>
    <phoneticPr fontId="2"/>
  </si>
  <si>
    <t>ステア角損失トルク</t>
    <rPh sb="3" eb="4">
      <t>カク</t>
    </rPh>
    <rPh sb="4" eb="6">
      <t>ソンシツ</t>
    </rPh>
    <phoneticPr fontId="2"/>
  </si>
  <si>
    <t>ステアリング反力</t>
    <rPh sb="6" eb="8">
      <t>ハンリョク</t>
    </rPh>
    <phoneticPr fontId="2"/>
  </si>
  <si>
    <t>Nm</t>
    <phoneticPr fontId="2"/>
  </si>
  <si>
    <t>N</t>
    <phoneticPr fontId="2"/>
  </si>
  <si>
    <t>Nm</t>
    <phoneticPr fontId="2"/>
  </si>
  <si>
    <t>I3</t>
    <phoneticPr fontId="2"/>
  </si>
  <si>
    <t>Δm</t>
    <phoneticPr fontId="2"/>
  </si>
  <si>
    <t>2πθ/360</t>
    <phoneticPr fontId="2"/>
  </si>
  <si>
    <t>タイヤ切り速度</t>
    <rPh sb="3" eb="4">
      <t>キ</t>
    </rPh>
    <rPh sb="5" eb="7">
      <t>ソクド</t>
    </rPh>
    <phoneticPr fontId="2"/>
  </si>
  <si>
    <t>Tle</t>
    <phoneticPr fontId="2"/>
  </si>
  <si>
    <t>エンジン側の駆動損失</t>
    <rPh sb="4" eb="5">
      <t>ガワ</t>
    </rPh>
    <rPh sb="6" eb="8">
      <t>クドウ</t>
    </rPh>
    <rPh sb="8" eb="10">
      <t>ソンシツ</t>
    </rPh>
    <phoneticPr fontId="2"/>
  </si>
  <si>
    <t>ファイナル（通常４くらい）×ギア比</t>
    <rPh sb="6" eb="8">
      <t>ツウジョウ</t>
    </rPh>
    <rPh sb="16" eb="17">
      <t>ヒ</t>
    </rPh>
    <phoneticPr fontId="2"/>
  </si>
  <si>
    <t>ギア比</t>
    <rPh sb="2" eb="3">
      <t>ヒ</t>
    </rPh>
    <phoneticPr fontId="2"/>
  </si>
  <si>
    <t>タイヤのばね定数実測</t>
    <rPh sb="6" eb="8">
      <t>テイスウ</t>
    </rPh>
    <rPh sb="8" eb="10">
      <t>ジッソク</t>
    </rPh>
    <phoneticPr fontId="2"/>
  </si>
  <si>
    <t>車量増による駆動損失の影響</t>
    <rPh sb="0" eb="1">
      <t>シャタイ</t>
    </rPh>
    <rPh sb="1" eb="2">
      <t>ジュウリョウ</t>
    </rPh>
    <rPh sb="2" eb="3">
      <t>ゾウ</t>
    </rPh>
    <rPh sb="6" eb="8">
      <t>クドウ</t>
    </rPh>
    <rPh sb="8" eb="10">
      <t>ソンシツ</t>
    </rPh>
    <rPh sb="11" eb="13">
      <t>エイキョウ</t>
    </rPh>
    <phoneticPr fontId="2"/>
  </si>
  <si>
    <t>質量増分</t>
    <rPh sb="0" eb="2">
      <t>シツリョウ</t>
    </rPh>
    <rPh sb="2" eb="4">
      <t>ゾウブン</t>
    </rPh>
    <phoneticPr fontId="2"/>
  </si>
  <si>
    <t>100kgあたり10馬力の損失とみてよい</t>
    <rPh sb="10" eb="12">
      <t>バリキ</t>
    </rPh>
    <rPh sb="13" eb="15">
      <t>ソンシツ</t>
    </rPh>
    <phoneticPr fontId="2"/>
  </si>
  <si>
    <t>通常４速ギアでエンジントルクの約２割がころがり抵抗によって消える</t>
    <rPh sb="0" eb="2">
      <t>ツウジョウ</t>
    </rPh>
    <rPh sb="3" eb="4">
      <t>ソク</t>
    </rPh>
    <rPh sb="15" eb="16">
      <t>ヤク</t>
    </rPh>
    <rPh sb="17" eb="18">
      <t>ワリ</t>
    </rPh>
    <rPh sb="23" eb="25">
      <t>テイコウ</t>
    </rPh>
    <rPh sb="29" eb="30">
      <t>キ</t>
    </rPh>
    <phoneticPr fontId="2"/>
  </si>
  <si>
    <t>k= 2.3242E+06e-3.7095E-02δ</t>
    <phoneticPr fontId="2"/>
  </si>
  <si>
    <t>足回りに関する各種計算</t>
    <rPh sb="0" eb="2">
      <t>アシマワ</t>
    </rPh>
    <rPh sb="4" eb="5">
      <t>カン</t>
    </rPh>
    <rPh sb="7" eb="9">
      <t>カクシュ</t>
    </rPh>
    <rPh sb="9" eb="11">
      <t>ケイサン</t>
    </rPh>
    <phoneticPr fontId="2"/>
  </si>
  <si>
    <t>舗装路では0.01～0.02</t>
    <rPh sb="0" eb="3">
      <t>ホソウロ</t>
    </rPh>
    <phoneticPr fontId="2"/>
  </si>
  <si>
    <t>タイヤ径</t>
    <rPh sb="3" eb="4">
      <t>ケイ</t>
    </rPh>
    <phoneticPr fontId="2"/>
  </si>
  <si>
    <t>倍率</t>
    <rPh sb="0" eb="2">
      <t>バイリツ</t>
    </rPh>
    <phoneticPr fontId="2"/>
  </si>
  <si>
    <t>倍</t>
    <rPh sb="0" eb="1">
      <t>バイ</t>
    </rPh>
    <phoneticPr fontId="2"/>
  </si>
  <si>
    <t>m</t>
    <phoneticPr fontId="2"/>
  </si>
  <si>
    <t>kg</t>
    <phoneticPr fontId="2"/>
  </si>
  <si>
    <t>バネ上等価質量</t>
    <rPh sb="2" eb="3">
      <t>ウエ</t>
    </rPh>
    <rPh sb="3" eb="5">
      <t>トウカ</t>
    </rPh>
    <rPh sb="5" eb="7">
      <t>シツリョウ</t>
    </rPh>
    <phoneticPr fontId="2"/>
  </si>
  <si>
    <t>17インチ</t>
    <phoneticPr fontId="2"/>
  </si>
  <si>
    <t>ΔI</t>
    <phoneticPr fontId="2"/>
  </si>
  <si>
    <t>D</t>
    <phoneticPr fontId="2"/>
  </si>
  <si>
    <t>G</t>
    <phoneticPr fontId="2"/>
  </si>
  <si>
    <t>軽量ホイールのばね上倍率計算</t>
    <rPh sb="0" eb="2">
      <t>ケイリョウ</t>
    </rPh>
    <rPh sb="9" eb="10">
      <t>ウエ</t>
    </rPh>
    <rPh sb="10" eb="12">
      <t>バイリツ</t>
    </rPh>
    <rPh sb="12" eb="14">
      <t>ケイサン</t>
    </rPh>
    <phoneticPr fontId="2"/>
  </si>
  <si>
    <t>４本分慣性軽減量</t>
    <rPh sb="1" eb="2">
      <t>ホン</t>
    </rPh>
    <rPh sb="2" eb="3">
      <t>ブン</t>
    </rPh>
    <rPh sb="3" eb="5">
      <t>カンセイ</t>
    </rPh>
    <rPh sb="5" eb="7">
      <t>ケイゲン</t>
    </rPh>
    <rPh sb="7" eb="8">
      <t>リョウ</t>
    </rPh>
    <phoneticPr fontId="2"/>
  </si>
  <si>
    <t>直接計算※</t>
    <rPh sb="0" eb="2">
      <t>チョクセツ</t>
    </rPh>
    <rPh sb="2" eb="4">
      <t>ケイサン</t>
    </rPh>
    <phoneticPr fontId="2"/>
  </si>
  <si>
    <t>※倍率だけならΔIが無くてもDから求められる。</t>
    <rPh sb="1" eb="3">
      <t>バイリツ</t>
    </rPh>
    <rPh sb="17" eb="18">
      <t>モト</t>
    </rPh>
    <phoneticPr fontId="2"/>
  </si>
  <si>
    <t>振動伝達率(dB)</t>
    <rPh sb="0" eb="2">
      <t>シンドウ</t>
    </rPh>
    <rPh sb="2" eb="4">
      <t>デンタツ</t>
    </rPh>
    <rPh sb="4" eb="5">
      <t>リツ</t>
    </rPh>
    <phoneticPr fontId="2"/>
  </si>
  <si>
    <t>ホイール質量2倍</t>
    <rPh sb="4" eb="6">
      <t>シツリョウ</t>
    </rPh>
    <rPh sb="7" eb="8">
      <t>バイ</t>
    </rPh>
    <phoneticPr fontId="2"/>
  </si>
  <si>
    <t>ホイール質量1/2倍</t>
    <rPh sb="4" eb="6">
      <t>シツリョウ</t>
    </rPh>
    <rPh sb="9" eb="10">
      <t>バイ</t>
    </rPh>
    <phoneticPr fontId="2"/>
  </si>
  <si>
    <t>2015/5/7 追加</t>
    <rPh sb="9" eb="11">
      <t>ツイカ</t>
    </rPh>
    <phoneticPr fontId="2"/>
  </si>
  <si>
    <t>タイヤバネ1/2</t>
    <phoneticPr fontId="2"/>
  </si>
  <si>
    <t>車体質量</t>
    <rPh sb="0" eb="2">
      <t>シャタイ</t>
    </rPh>
    <rPh sb="2" eb="4">
      <t>シツリョウ</t>
    </rPh>
    <phoneticPr fontId="2"/>
  </si>
  <si>
    <t>ホイール質量</t>
    <rPh sb="4" eb="6">
      <t>シツリョウ</t>
    </rPh>
    <phoneticPr fontId="2"/>
  </si>
  <si>
    <t>サスばね定数</t>
    <rPh sb="4" eb="6">
      <t>テイスウ</t>
    </rPh>
    <phoneticPr fontId="2"/>
  </si>
  <si>
    <t>タイヤばね定数</t>
    <rPh sb="5" eb="7">
      <t>テイスウ</t>
    </rPh>
    <phoneticPr fontId="2"/>
  </si>
  <si>
    <t>x0</t>
    <phoneticPr fontId="2"/>
  </si>
  <si>
    <t>b</t>
    <phoneticPr fontId="2"/>
  </si>
  <si>
    <t>近似</t>
    <rPh sb="0" eb="2">
      <t>キンジ</t>
    </rPh>
    <phoneticPr fontId="2"/>
  </si>
  <si>
    <t>c2</t>
    <phoneticPr fontId="2"/>
  </si>
  <si>
    <t>c1</t>
    <phoneticPr fontId="2"/>
  </si>
  <si>
    <t>Ns/m</t>
    <phoneticPr fontId="2"/>
  </si>
  <si>
    <t>サスの減衰</t>
    <rPh sb="3" eb="5">
      <t>ゲンスイ</t>
    </rPh>
    <phoneticPr fontId="2"/>
  </si>
  <si>
    <t>タイヤの減衰</t>
    <rPh sb="4" eb="6">
      <t>ゲンスイ</t>
    </rPh>
    <phoneticPr fontId="2"/>
  </si>
  <si>
    <t>ζ1</t>
    <phoneticPr fontId="2"/>
  </si>
  <si>
    <t>ζ2</t>
    <phoneticPr fontId="2"/>
  </si>
  <si>
    <t>サスの減衰比</t>
    <rPh sb="3" eb="5">
      <t>ゲンスイ</t>
    </rPh>
    <rPh sb="5" eb="6">
      <t>ヒ</t>
    </rPh>
    <phoneticPr fontId="2"/>
  </si>
  <si>
    <t>タイヤの減衰比</t>
    <rPh sb="4" eb="6">
      <t>ゲンスイ</t>
    </rPh>
    <rPh sb="6" eb="7">
      <t>ヒ</t>
    </rPh>
    <phoneticPr fontId="2"/>
  </si>
  <si>
    <t>ゴムの減衰比：一般に 0.03～0.2</t>
    <rPh sb="3" eb="5">
      <t>ゲンスイ</t>
    </rPh>
    <rPh sb="5" eb="6">
      <t>ヒ</t>
    </rPh>
    <rPh sb="7" eb="9">
      <t>イッパン</t>
    </rPh>
    <phoneticPr fontId="2"/>
  </si>
  <si>
    <t>参考文献</t>
    <rPh sb="0" eb="2">
      <t>サンコウ</t>
    </rPh>
    <rPh sb="2" eb="4">
      <t>ブンケン</t>
    </rPh>
    <phoneticPr fontId="2"/>
  </si>
  <si>
    <t>振動伝達率(振幅比)</t>
    <rPh sb="0" eb="2">
      <t>シンドウ</t>
    </rPh>
    <rPh sb="2" eb="4">
      <t>デンタツ</t>
    </rPh>
    <rPh sb="4" eb="5">
      <t>リツ</t>
    </rPh>
    <rPh sb="6" eb="8">
      <t>シンプク</t>
    </rPh>
    <rPh sb="8" eb="9">
      <t>ヒ</t>
    </rPh>
    <phoneticPr fontId="2"/>
  </si>
  <si>
    <t>入力変位</t>
    <rPh sb="0" eb="2">
      <t>ニュウリョク</t>
    </rPh>
    <rPh sb="2" eb="4">
      <t>ヘンイ</t>
    </rPh>
    <phoneticPr fontId="2"/>
  </si>
  <si>
    <t>車体に伝わる衝撃(m/s^2)</t>
    <rPh sb="0" eb="2">
      <t>シャタイ</t>
    </rPh>
    <rPh sb="3" eb="4">
      <t>ツタ</t>
    </rPh>
    <rPh sb="6" eb="8">
      <t>ショウゲキ</t>
    </rPh>
    <phoneticPr fontId="2"/>
  </si>
  <si>
    <t>標準との差</t>
    <rPh sb="0" eb="2">
      <t>ヒョウジュン</t>
    </rPh>
    <rPh sb="4" eb="5">
      <t>サ</t>
    </rPh>
    <phoneticPr fontId="2"/>
  </si>
  <si>
    <t>sをjωとして振幅に変換する際、jωはそのままωとなるが、実数＋jωTの形の場合はsqrt(実数^2+ω^2T^2) またはsqrt(実数^2+(ωT)^2)なる点に注意</t>
    <rPh sb="7" eb="9">
      <t>シンプク</t>
    </rPh>
    <rPh sb="10" eb="12">
      <t>ヘンカン</t>
    </rPh>
    <rPh sb="14" eb="15">
      <t>サイ</t>
    </rPh>
    <rPh sb="29" eb="31">
      <t>ジッスウ</t>
    </rPh>
    <rPh sb="36" eb="37">
      <t>カタチ</t>
    </rPh>
    <rPh sb="38" eb="40">
      <t>バアイ</t>
    </rPh>
    <rPh sb="46" eb="48">
      <t>ジッスウ</t>
    </rPh>
    <rPh sb="67" eb="69">
      <t>ジッスウ</t>
    </rPh>
    <rPh sb="81" eb="82">
      <t>テン</t>
    </rPh>
    <rPh sb="83" eb="85">
      <t>チュウイ</t>
    </rPh>
    <phoneticPr fontId="2"/>
  </si>
  <si>
    <t>c</t>
    <phoneticPr fontId="2"/>
  </si>
  <si>
    <t>d</t>
    <phoneticPr fontId="2"/>
  </si>
  <si>
    <t>e</t>
    <phoneticPr fontId="2"/>
  </si>
  <si>
    <t>a=ω(c1+c2)</t>
    <phoneticPr fontId="2"/>
  </si>
  <si>
    <t>b=k1+k2-m1ω^2</t>
    <phoneticPr fontId="2"/>
  </si>
  <si>
    <t>d=k2-m2ω^2</t>
    <phoneticPr fontId="2"/>
  </si>
  <si>
    <t>f=k2</t>
    <phoneticPr fontId="2"/>
  </si>
  <si>
    <t>c,e=c2ω</t>
    <phoneticPr fontId="2"/>
  </si>
  <si>
    <t>p=c1ω</t>
    <phoneticPr fontId="2"/>
  </si>
  <si>
    <t>q=k1</t>
    <phoneticPr fontId="2"/>
  </si>
  <si>
    <t>G02　＝　γ(c1s+k1)/(αβ-γ^2)　　　　　(1-10)</t>
    <phoneticPr fontId="2"/>
  </si>
  <si>
    <t>G02　＝　(je+f)(jp+q)/((ja+b)(jc+d)-(je+f)^2)　　　　　(1-11)</t>
    <phoneticPr fontId="2"/>
  </si>
  <si>
    <t>これを複素数の形で表す。</t>
    <phoneticPr fontId="2"/>
  </si>
  <si>
    <t>分母を展開して実部と虚部にまとめる。</t>
    <rPh sb="0" eb="2">
      <t>ブンボ</t>
    </rPh>
    <rPh sb="3" eb="5">
      <t>テンカイ</t>
    </rPh>
    <rPh sb="7" eb="9">
      <t>ジツブ</t>
    </rPh>
    <rPh sb="10" eb="12">
      <t>キョブ</t>
    </rPh>
    <phoneticPr fontId="2"/>
  </si>
  <si>
    <t>G02　＝　(je+f)(jp+q)/j(ad+bc-2ef)^2+(bd+e^2-f^2-ac)　　　　　(1-13)</t>
    <phoneticPr fontId="2"/>
  </si>
  <si>
    <t>振幅比は次式で求められる。</t>
    <rPh sb="0" eb="2">
      <t>シンプク</t>
    </rPh>
    <rPh sb="2" eb="3">
      <t>ヒ</t>
    </rPh>
    <rPh sb="4" eb="6">
      <t>ジシキ</t>
    </rPh>
    <rPh sb="7" eb="8">
      <t>モト</t>
    </rPh>
    <phoneticPr fontId="2"/>
  </si>
  <si>
    <t>τ02'＝√((e^2+f^2)(p^2+q^2)/((as+bc-2ef)^2+(db+e^2-f^2-ac)^2))　　　　　(1-14)</t>
    <phoneticPr fontId="2"/>
  </si>
  <si>
    <t>減衰を考慮した形に改良</t>
    <rPh sb="0" eb="2">
      <t>ゲンスイ</t>
    </rPh>
    <rPh sb="3" eb="5">
      <t>コウリョ</t>
    </rPh>
    <rPh sb="7" eb="8">
      <t>カタチ</t>
    </rPh>
    <rPh sb="9" eb="11">
      <t>カイリョウ</t>
    </rPh>
    <phoneticPr fontId="2"/>
  </si>
  <si>
    <t>作成</t>
    <rPh sb="0" eb="2">
      <t>サクセイ</t>
    </rPh>
    <phoneticPr fontId="2"/>
  </si>
  <si>
    <t>サスペンションの最適値：0.12～0.2</t>
    <rPh sb="8" eb="10">
      <t>サイテキ</t>
    </rPh>
    <rPh sb="10" eb="11">
      <t>チ</t>
    </rPh>
    <phoneticPr fontId="2"/>
  </si>
  <si>
    <t xml:space="preserve"> j^2は-1となる。</t>
    <phoneticPr fontId="2"/>
  </si>
  <si>
    <t>減衰があるときの連成を考慮した振幅比は次式で計算した。</t>
    <rPh sb="0" eb="2">
      <t>ゲンスイ</t>
    </rPh>
    <rPh sb="8" eb="10">
      <t>レンセイ</t>
    </rPh>
    <rPh sb="11" eb="13">
      <t>コウリョ</t>
    </rPh>
    <rPh sb="15" eb="17">
      <t>シンプク</t>
    </rPh>
    <rPh sb="17" eb="18">
      <t>ヒ</t>
    </rPh>
    <rPh sb="19" eb="21">
      <t>ジシキ</t>
    </rPh>
    <rPh sb="22" eb="24">
      <t>ケイサン</t>
    </rPh>
    <phoneticPr fontId="2"/>
  </si>
  <si>
    <t>まず、https://souzouno-yakata.com/car/2005/09/16/703/で紹介した式1-6を、次の形にする。</t>
    <rPh sb="51" eb="53">
      <t>ショウカイ</t>
    </rPh>
    <rPh sb="55" eb="56">
      <t>シキ</t>
    </rPh>
    <rPh sb="56" eb="57">
      <t>ジョウシキ</t>
    </rPh>
    <rPh sb="61" eb="62">
      <t>ツギ</t>
    </rPh>
    <rPh sb="63" eb="64">
      <t>カタチ</t>
    </rPh>
    <phoneticPr fontId="2"/>
  </si>
  <si>
    <t>周波数応答の計算</t>
    <rPh sb="0" eb="3">
      <t>シュウハスウ</t>
    </rPh>
    <rPh sb="3" eb="5">
      <t>オウトウ</t>
    </rPh>
    <rPh sb="6" eb="8">
      <t>ケイサン</t>
    </rPh>
    <phoneticPr fontId="2"/>
  </si>
  <si>
    <t>記号</t>
    <rPh sb="0" eb="2">
      <t>キゴウ</t>
    </rPh>
    <phoneticPr fontId="2"/>
  </si>
  <si>
    <t>項目</t>
    <rPh sb="0" eb="2">
      <t>コウモク</t>
    </rPh>
    <phoneticPr fontId="2"/>
  </si>
  <si>
    <t>車体に伝わる衝撃力を計算する（作成：創造の館）</t>
    <rPh sb="0" eb="2">
      <t>シャタイ</t>
    </rPh>
    <rPh sb="3" eb="4">
      <t>ツタ</t>
    </rPh>
    <rPh sb="6" eb="8">
      <t>ショウゲキ</t>
    </rPh>
    <rPh sb="8" eb="9">
      <t>リョク</t>
    </rPh>
    <rPh sb="10" eb="12">
      <t>ケイサン</t>
    </rPh>
    <rPh sb="15" eb="17">
      <t>サクセイ</t>
    </rPh>
    <rPh sb="18" eb="20">
      <t>ソウゾウ</t>
    </rPh>
    <rPh sb="21" eb="22">
      <t>ヤカタ</t>
    </rPh>
    <phoneticPr fontId="2"/>
  </si>
  <si>
    <t>C2/(2√(M2*K2))</t>
    <phoneticPr fontId="2"/>
  </si>
  <si>
    <t>単位・式</t>
    <rPh sb="0" eb="2">
      <t>タンイ</t>
    </rPh>
    <rPh sb="3" eb="4">
      <t>シキ</t>
    </rPh>
    <phoneticPr fontId="2"/>
  </si>
  <si>
    <t>C1/(2√(M1*K1))</t>
    <phoneticPr fontId="2"/>
  </si>
  <si>
    <t>7.パワープラントのダイナミックダンパ効果を利用した近バーティブルカーのボディシェイク設計</t>
    <rPh sb="19" eb="21">
      <t>コウカ</t>
    </rPh>
    <rPh sb="22" eb="24">
      <t>リヨウ</t>
    </rPh>
    <rPh sb="26" eb="27">
      <t>コン</t>
    </rPh>
    <rPh sb="43" eb="45">
      <t>セッケイ</t>
    </rPh>
    <phoneticPr fontId="2"/>
  </si>
  <si>
    <t>6.yacomo 防振ゴム総合カタログ</t>
  </si>
  <si>
    <t>5.車のダンパー・ショックアブソーバーの粘性減衰係数の設定</t>
  </si>
  <si>
    <t>3.ばねます日記 ２自由度振動系のシミュレーション</t>
  </si>
  <si>
    <t>2.山下裕　メカトロニクス基礎（振動学・解析力学）</t>
  </si>
  <si>
    <t>参考：減衰比の目安[6]</t>
    <rPh sb="0" eb="2">
      <t>サンコウ</t>
    </rPh>
    <rPh sb="3" eb="5">
      <t>ゲンスイ</t>
    </rPh>
    <rPh sb="5" eb="6">
      <t>ヒ</t>
    </rPh>
    <rPh sb="7" eb="9">
      <t>メヤス</t>
    </rPh>
    <phoneticPr fontId="2"/>
  </si>
  <si>
    <t>1.工業振動学（森北出版）P52,82,83</t>
    <rPh sb="2" eb="4">
      <t>コウギョウ</t>
    </rPh>
    <rPh sb="4" eb="7">
      <t>シンドウガク</t>
    </rPh>
    <rPh sb="8" eb="9">
      <t>モリ</t>
    </rPh>
    <rPh sb="9" eb="10">
      <t>ホク</t>
    </rPh>
    <rPh sb="10" eb="12">
      <t>シュッパン</t>
    </rPh>
    <phoneticPr fontId="2"/>
  </si>
  <si>
    <t>4.伊藤正美著　自動制御概論(上) P38-40</t>
    <rPh sb="2" eb="4">
      <t>イトウ</t>
    </rPh>
    <rPh sb="4" eb="6">
      <t>マサミ</t>
    </rPh>
    <rPh sb="6" eb="7">
      <t>チョ</t>
    </rPh>
    <rPh sb="8" eb="10">
      <t>ジドウ</t>
    </rPh>
    <rPh sb="10" eb="12">
      <t>セイギョ</t>
    </rPh>
    <rPh sb="12" eb="14">
      <t>ガイロン</t>
    </rPh>
    <rPh sb="15" eb="16">
      <t>ジョウ</t>
    </rPh>
    <phoneticPr fontId="2"/>
  </si>
  <si>
    <t>車体の固有値は10～20Hz (オープンカーは10Hz)</t>
    <rPh sb="0" eb="2">
      <t>シャタイ</t>
    </rPh>
    <rPh sb="3" eb="6">
      <t>コユウチ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</si>
</sst>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_ "/>
    <numFmt numFmtId="177" formatCode="0.0_ "/>
    <numFmt numFmtId="178" formatCode="0.0000"/>
    <numFmt numFmtId="179" formatCode="0.000"/>
    <numFmt numFmtId="180" formatCode="0.00_);[Red]\(0.00\)"/>
    <numFmt numFmtId="181" formatCode="0.0"/>
    <numFmt numFmtId="182" formatCode="0.000E+00"/>
    <numFmt numFmtId="183" formatCode="0.00000_);[Red]\(0.00000\)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4" borderId="8" applyNumberFormat="0" applyFont="0" applyAlignment="0" applyProtection="0">
      <alignment vertical="center"/>
    </xf>
  </cellStyleXfs>
  <cellXfs count="9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2" borderId="0" xfId="0" applyFill="1"/>
    <xf numFmtId="0" fontId="0" fillId="0" borderId="0" xfId="0" applyFill="1"/>
    <xf numFmtId="14" fontId="0" fillId="0" borderId="0" xfId="0" applyNumberFormat="1"/>
    <xf numFmtId="2" fontId="0" fillId="0" borderId="0" xfId="0" applyNumberFormat="1"/>
    <xf numFmtId="56" fontId="0" fillId="0" borderId="0" xfId="0" applyNumberFormat="1"/>
    <xf numFmtId="0" fontId="4" fillId="0" borderId="0" xfId="0" applyFont="1"/>
    <xf numFmtId="0" fontId="4" fillId="0" borderId="0" xfId="0" applyFont="1" applyBorder="1"/>
    <xf numFmtId="179" fontId="0" fillId="0" borderId="0" xfId="0" applyNumberFormat="1"/>
    <xf numFmtId="0" fontId="0" fillId="2" borderId="0" xfId="0" applyFill="1" applyBorder="1"/>
    <xf numFmtId="181" fontId="0" fillId="0" borderId="0" xfId="0" applyNumberFormat="1"/>
    <xf numFmtId="179" fontId="1" fillId="0" borderId="0" xfId="0" applyNumberFormat="1" applyFont="1" applyBorder="1"/>
    <xf numFmtId="2" fontId="4" fillId="0" borderId="0" xfId="0" applyNumberFormat="1" applyFo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4" xfId="0" applyNumberFormat="1" applyBorder="1"/>
    <xf numFmtId="11" fontId="0" fillId="2" borderId="0" xfId="0" applyNumberFormat="1" applyFill="1"/>
    <xf numFmtId="11" fontId="0" fillId="0" borderId="0" xfId="0" applyNumberFormat="1"/>
    <xf numFmtId="181" fontId="4" fillId="0" borderId="0" xfId="0" applyNumberFormat="1" applyFont="1"/>
    <xf numFmtId="2" fontId="0" fillId="2" borderId="0" xfId="0" applyNumberFormat="1" applyFill="1"/>
    <xf numFmtId="183" fontId="0" fillId="0" borderId="0" xfId="0" applyNumberFormat="1"/>
    <xf numFmtId="0" fontId="0" fillId="0" borderId="0" xfId="0" applyFill="1" applyBorder="1"/>
    <xf numFmtId="181" fontId="0" fillId="0" borderId="0" xfId="0" applyNumberFormat="1" applyFill="1" applyBorder="1"/>
    <xf numFmtId="2" fontId="4" fillId="0" borderId="0" xfId="0" applyNumberFormat="1" applyFont="1" applyBorder="1"/>
    <xf numFmtId="2" fontId="0" fillId="0" borderId="0" xfId="0" applyNumberFormat="1" applyBorder="1"/>
    <xf numFmtId="181" fontId="0" fillId="0" borderId="0" xfId="0" applyNumberFormat="1" applyBorder="1"/>
    <xf numFmtId="181" fontId="4" fillId="0" borderId="0" xfId="0" applyNumberFormat="1" applyFont="1" applyBorder="1"/>
    <xf numFmtId="1" fontId="0" fillId="0" borderId="0" xfId="0" applyNumberFormat="1" applyFill="1" applyBorder="1"/>
    <xf numFmtId="181" fontId="4" fillId="0" borderId="0" xfId="0" applyNumberFormat="1" applyFont="1" applyFill="1" applyBorder="1"/>
    <xf numFmtId="1" fontId="0" fillId="0" borderId="0" xfId="0" applyNumberFormat="1" applyBorder="1"/>
    <xf numFmtId="11" fontId="0" fillId="0" borderId="0" xfId="0" applyNumberFormat="1" applyFill="1" applyBorder="1"/>
    <xf numFmtId="181" fontId="1" fillId="0" borderId="0" xfId="0" applyNumberFormat="1" applyFont="1" applyBorder="1"/>
    <xf numFmtId="181" fontId="0" fillId="2" borderId="0" xfId="0" applyNumberFormat="1" applyFill="1" applyBorder="1"/>
    <xf numFmtId="179" fontId="0" fillId="0" borderId="0" xfId="0" applyNumberFormat="1" applyBorder="1"/>
    <xf numFmtId="0" fontId="5" fillId="0" borderId="0" xfId="0" applyFont="1"/>
    <xf numFmtId="0" fontId="0" fillId="0" borderId="0" xfId="0" applyAlignment="1">
      <alignment horizontal="left" indent="1"/>
    </xf>
    <xf numFmtId="181" fontId="1" fillId="2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Alignment="1"/>
    <xf numFmtId="179" fontId="4" fillId="0" borderId="0" xfId="0" applyNumberFormat="1" applyFont="1" applyBorder="1"/>
    <xf numFmtId="181" fontId="1" fillId="0" borderId="0" xfId="0" applyNumberFormat="1" applyFont="1" applyFill="1" applyBorder="1"/>
    <xf numFmtId="0" fontId="4" fillId="0" borderId="0" xfId="0" applyFont="1" applyFill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/>
    <xf numFmtId="0" fontId="0" fillId="2" borderId="0" xfId="0" applyFill="1" applyBorder="1" applyAlignment="1"/>
    <xf numFmtId="0" fontId="0" fillId="0" borderId="6" xfId="0" applyBorder="1"/>
    <xf numFmtId="176" fontId="4" fillId="0" borderId="0" xfId="0" applyNumberFormat="1" applyFont="1" applyBorder="1"/>
    <xf numFmtId="11" fontId="0" fillId="0" borderId="0" xfId="0" applyNumberFormat="1" applyBorder="1"/>
    <xf numFmtId="11" fontId="4" fillId="0" borderId="0" xfId="0" applyNumberFormat="1" applyFont="1" applyBorder="1"/>
    <xf numFmtId="0" fontId="0" fillId="0" borderId="0" xfId="0" applyBorder="1" applyAlignment="1">
      <alignment horizontal="left" indent="1"/>
    </xf>
    <xf numFmtId="2" fontId="1" fillId="0" borderId="0" xfId="0" applyNumberFormat="1" applyFont="1" applyFill="1" applyBorder="1"/>
    <xf numFmtId="179" fontId="4" fillId="0" borderId="0" xfId="0" applyNumberFormat="1" applyFont="1" applyFill="1" applyBorder="1"/>
    <xf numFmtId="179" fontId="0" fillId="0" borderId="0" xfId="0" applyNumberFormat="1" applyFill="1" applyBorder="1"/>
    <xf numFmtId="178" fontId="0" fillId="0" borderId="0" xfId="0" applyNumberFormat="1" applyBorder="1"/>
    <xf numFmtId="178" fontId="0" fillId="0" borderId="0" xfId="0" applyNumberFormat="1"/>
    <xf numFmtId="179" fontId="0" fillId="2" borderId="0" xfId="0" applyNumberFormat="1" applyFill="1" applyBorder="1"/>
    <xf numFmtId="2" fontId="1" fillId="0" borderId="0" xfId="0" applyNumberFormat="1" applyFont="1" applyBorder="1"/>
    <xf numFmtId="1" fontId="4" fillId="0" borderId="0" xfId="0" applyNumberFormat="1" applyFont="1" applyBorder="1"/>
    <xf numFmtId="176" fontId="0" fillId="0" borderId="0" xfId="0" applyNumberFormat="1"/>
    <xf numFmtId="2" fontId="0" fillId="0" borderId="0" xfId="0" applyNumberFormat="1" applyFill="1" applyBorder="1"/>
    <xf numFmtId="0" fontId="0" fillId="0" borderId="0" xfId="0" applyBorder="1" applyAlignment="1">
      <alignment horizontal="center"/>
    </xf>
    <xf numFmtId="0" fontId="0" fillId="3" borderId="0" xfId="0" applyFill="1" applyBorder="1"/>
    <xf numFmtId="0" fontId="0" fillId="0" borderId="7" xfId="0" applyBorder="1"/>
    <xf numFmtId="0" fontId="0" fillId="0" borderId="7" xfId="0" applyBorder="1" applyAlignment="1">
      <alignment horizontal="center"/>
    </xf>
    <xf numFmtId="56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180" fontId="0" fillId="0" borderId="0" xfId="0" applyNumberFormat="1" applyAlignment="1">
      <alignment horizontal="center"/>
    </xf>
    <xf numFmtId="180" fontId="0" fillId="0" borderId="0" xfId="0" applyNumberFormat="1" applyAlignment="1">
      <alignment horizontal="center" vertical="center"/>
    </xf>
    <xf numFmtId="0" fontId="7" fillId="2" borderId="0" xfId="0" applyFont="1" applyFill="1"/>
    <xf numFmtId="11" fontId="7" fillId="2" borderId="0" xfId="0" applyNumberFormat="1" applyFont="1" applyFill="1"/>
    <xf numFmtId="56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182" fontId="0" fillId="0" borderId="0" xfId="0" applyNumberFormat="1" applyAlignment="1">
      <alignment horizontal="center"/>
    </xf>
    <xf numFmtId="182" fontId="0" fillId="0" borderId="0" xfId="0" applyNumberFormat="1"/>
    <xf numFmtId="11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/>
    </xf>
    <xf numFmtId="11" fontId="0" fillId="2" borderId="0" xfId="0" applyNumberFormat="1" applyFill="1" applyAlignment="1">
      <alignment horizontal="center"/>
    </xf>
    <xf numFmtId="180" fontId="3" fillId="0" borderId="0" xfId="2" applyNumberFormat="1" applyFont="1" applyFill="1" applyBorder="1" applyAlignment="1">
      <alignment horizontal="center"/>
    </xf>
    <xf numFmtId="176" fontId="3" fillId="0" borderId="0" xfId="2" applyNumberFormat="1" applyFont="1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182" fontId="0" fillId="0" borderId="0" xfId="0" applyNumberFormat="1" applyFill="1" applyBorder="1"/>
    <xf numFmtId="0" fontId="8" fillId="0" borderId="0" xfId="0" applyFont="1"/>
    <xf numFmtId="182" fontId="8" fillId="0" borderId="0" xfId="0" applyNumberFormat="1" applyFont="1"/>
    <xf numFmtId="14" fontId="8" fillId="0" borderId="0" xfId="0" applyNumberFormat="1" applyFont="1"/>
    <xf numFmtId="0" fontId="0" fillId="0" borderId="0" xfId="0" quotePrefix="1"/>
    <xf numFmtId="0" fontId="9" fillId="0" borderId="0" xfId="1" applyFont="1" applyAlignment="1" applyProtection="1"/>
  </cellXfs>
  <cellStyles count="3">
    <cellStyle name="ハイパーリンク" xfId="1" builtinId="8"/>
    <cellStyle name="メモ" xfId="2" builtin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4269933995931"/>
          <c:y val="6.4356435643564358E-2"/>
          <c:w val="0.80595731289405903"/>
          <c:h val="0.7652349515221442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'サスペンションモデルの計算 (減衰付)'!$T$55</c:f>
              <c:strCache>
                <c:ptCount val="1"/>
                <c:pt idx="0">
                  <c:v>標準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'サスペンションモデルの計算 (減衰付)'!$A$56:$A$105</c:f>
              <c:numCache>
                <c:formatCode>0.00_);[Red]\(0.00\)</c:formatCode>
                <c:ptCount val="50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0.17279999999999998</c:v>
                </c:pt>
                <c:pt idx="4">
                  <c:v>0.20735999999999996</c:v>
                </c:pt>
                <c:pt idx="5">
                  <c:v>0.24883199999999994</c:v>
                </c:pt>
                <c:pt idx="6">
                  <c:v>0.29859839999999993</c:v>
                </c:pt>
                <c:pt idx="7">
                  <c:v>0.35831807999999993</c:v>
                </c:pt>
                <c:pt idx="8">
                  <c:v>0.42998169599999991</c:v>
                </c:pt>
                <c:pt idx="9">
                  <c:v>0.51597803519999985</c:v>
                </c:pt>
                <c:pt idx="10">
                  <c:v>0.61917364223999982</c:v>
                </c:pt>
                <c:pt idx="11">
                  <c:v>0.74300837068799974</c:v>
                </c:pt>
                <c:pt idx="12">
                  <c:v>0.89161004482559969</c:v>
                </c:pt>
                <c:pt idx="13">
                  <c:v>1.0699320537907195</c:v>
                </c:pt>
                <c:pt idx="14">
                  <c:v>1.2839184645488635</c:v>
                </c:pt>
                <c:pt idx="15">
                  <c:v>1.5407021574586361</c:v>
                </c:pt>
                <c:pt idx="16">
                  <c:v>1.8488425889503632</c:v>
                </c:pt>
                <c:pt idx="17">
                  <c:v>2.2186111067404357</c:v>
                </c:pt>
                <c:pt idx="18">
                  <c:v>2.6623333280885229</c:v>
                </c:pt>
                <c:pt idx="19">
                  <c:v>3.1947999937062272</c:v>
                </c:pt>
                <c:pt idx="20">
                  <c:v>3.8337599924474723</c:v>
                </c:pt>
                <c:pt idx="21">
                  <c:v>4.6005119909369663</c:v>
                </c:pt>
                <c:pt idx="22">
                  <c:v>5.5206143891243595</c:v>
                </c:pt>
                <c:pt idx="23">
                  <c:v>6.6247372669492313</c:v>
                </c:pt>
                <c:pt idx="24">
                  <c:v>7.9496847203390768</c:v>
                </c:pt>
                <c:pt idx="25">
                  <c:v>9.5396216644068925</c:v>
                </c:pt>
                <c:pt idx="26">
                  <c:v>11.447545997288271</c:v>
                </c:pt>
                <c:pt idx="27">
                  <c:v>13.737055196745926</c:v>
                </c:pt>
                <c:pt idx="28">
                  <c:v>16.484466236095109</c:v>
                </c:pt>
                <c:pt idx="29">
                  <c:v>19.78135948331413</c:v>
                </c:pt>
                <c:pt idx="30">
                  <c:v>23.737631379976957</c:v>
                </c:pt>
                <c:pt idx="31">
                  <c:v>28.485157655972348</c:v>
                </c:pt>
                <c:pt idx="32">
                  <c:v>34.182189187166813</c:v>
                </c:pt>
                <c:pt idx="33">
                  <c:v>41.018627024600171</c:v>
                </c:pt>
                <c:pt idx="34">
                  <c:v>49.222352429520207</c:v>
                </c:pt>
                <c:pt idx="35">
                  <c:v>59.066822915424247</c:v>
                </c:pt>
                <c:pt idx="36">
                  <c:v>70.880187498509088</c:v>
                </c:pt>
                <c:pt idx="37">
                  <c:v>85.056224998210908</c:v>
                </c:pt>
                <c:pt idx="38">
                  <c:v>102.06746999785308</c:v>
                </c:pt>
                <c:pt idx="39">
                  <c:v>122.48096399742369</c:v>
                </c:pt>
                <c:pt idx="40">
                  <c:v>146.97715679690842</c:v>
                </c:pt>
                <c:pt idx="41">
                  <c:v>176.37258815629011</c:v>
                </c:pt>
                <c:pt idx="42">
                  <c:v>211.64710578754813</c:v>
                </c:pt>
                <c:pt idx="43">
                  <c:v>253.97652694505774</c:v>
                </c:pt>
                <c:pt idx="44">
                  <c:v>304.7718323340693</c:v>
                </c:pt>
                <c:pt idx="45">
                  <c:v>365.72619880088314</c:v>
                </c:pt>
                <c:pt idx="46">
                  <c:v>438.87143856105973</c:v>
                </c:pt>
                <c:pt idx="47">
                  <c:v>526.64572627327163</c:v>
                </c:pt>
                <c:pt idx="48">
                  <c:v>631.97487152792598</c:v>
                </c:pt>
                <c:pt idx="49">
                  <c:v>758.36984583351114</c:v>
                </c:pt>
              </c:numCache>
            </c:numRef>
          </c:xVal>
          <c:yVal>
            <c:numRef>
              <c:f>'サスペンションモデルの計算 (減衰付)'!$T$56:$T$105</c:f>
              <c:numCache>
                <c:formatCode>0.00E+00</c:formatCode>
                <c:ptCount val="50"/>
                <c:pt idx="0">
                  <c:v>5.7089099252648545E-2</c:v>
                </c:pt>
                <c:pt idx="1">
                  <c:v>8.2314596757628811E-2</c:v>
                </c:pt>
                <c:pt idx="2">
                  <c:v>0.1187543409632613</c:v>
                </c:pt>
                <c:pt idx="3">
                  <c:v>0.17146792471076305</c:v>
                </c:pt>
                <c:pt idx="4">
                  <c:v>0.2478794180027287</c:v>
                </c:pt>
                <c:pt idx="5">
                  <c:v>0.35897378110209704</c:v>
                </c:pt>
                <c:pt idx="6">
                  <c:v>0.52120319097055035</c:v>
                </c:pt>
                <c:pt idx="7">
                  <c:v>0.75964732242877087</c:v>
                </c:pt>
                <c:pt idx="8">
                  <c:v>1.1135394465498656</c:v>
                </c:pt>
                <c:pt idx="9">
                  <c:v>1.6466401853972659</c:v>
                </c:pt>
                <c:pt idx="10">
                  <c:v>2.4686241599220731</c:v>
                </c:pt>
                <c:pt idx="11">
                  <c:v>3.7849047538781027</c:v>
                </c:pt>
                <c:pt idx="12">
                  <c:v>6.0309111548338485</c:v>
                </c:pt>
                <c:pt idx="13">
                  <c:v>10.208075779718211</c:v>
                </c:pt>
                <c:pt idx="14">
                  <c:v>12.986340375987451</c:v>
                </c:pt>
                <c:pt idx="15">
                  <c:v>4.8203351399241763</c:v>
                </c:pt>
                <c:pt idx="16">
                  <c:v>-1.4109620146692237</c:v>
                </c:pt>
                <c:pt idx="17">
                  <c:v>-6.1188785185579073</c:v>
                </c:pt>
                <c:pt idx="18">
                  <c:v>-10.020533321693055</c:v>
                </c:pt>
                <c:pt idx="19">
                  <c:v>-13.408185445965614</c:v>
                </c:pt>
                <c:pt idx="20">
                  <c:v>-16.407546628327296</c:v>
                </c:pt>
                <c:pt idx="21">
                  <c:v>-19.069653589729292</c:v>
                </c:pt>
                <c:pt idx="22">
                  <c:v>-21.40635125495637</c:v>
                </c:pt>
                <c:pt idx="23">
                  <c:v>-23.403253234893082</c:v>
                </c:pt>
                <c:pt idx="24">
                  <c:v>-25.019439546141669</c:v>
                </c:pt>
                <c:pt idx="25">
                  <c:v>-26.177960889735484</c:v>
                </c:pt>
                <c:pt idx="26">
                  <c:v>-26.768081002839775</c:v>
                </c:pt>
                <c:pt idx="27">
                  <c:v>-26.8427727091983</c:v>
                </c:pt>
                <c:pt idx="28">
                  <c:v>-27.976693631639336</c:v>
                </c:pt>
                <c:pt idx="29">
                  <c:v>-33.000281576065248</c:v>
                </c:pt>
                <c:pt idx="30">
                  <c:v>-39.486915166838095</c:v>
                </c:pt>
                <c:pt idx="31">
                  <c:v>-45.550308088023868</c:v>
                </c:pt>
                <c:pt idx="32">
                  <c:v>-51.083534834781219</c:v>
                </c:pt>
                <c:pt idx="33">
                  <c:v>-56.210676039339234</c:v>
                </c:pt>
                <c:pt idx="34">
                  <c:v>-61.02446532911857</c:v>
                </c:pt>
                <c:pt idx="35">
                  <c:v>-65.579148244445818</c:v>
                </c:pt>
                <c:pt idx="36">
                  <c:v>-69.906028287241554</c:v>
                </c:pt>
                <c:pt idx="37">
                  <c:v>-74.02633136759124</c:v>
                </c:pt>
                <c:pt idx="38">
                  <c:v>-77.959522467544076</c:v>
                </c:pt>
                <c:pt idx="39">
                  <c:v>-81.727309082755554</c:v>
                </c:pt>
                <c:pt idx="40">
                  <c:v>-85.35411046876203</c:v>
                </c:pt>
                <c:pt idx="41">
                  <c:v>-88.865401476334796</c:v>
                </c:pt>
                <c:pt idx="42">
                  <c:v>-92.285491866623929</c:v>
                </c:pt>
                <c:pt idx="43">
                  <c:v>-95.635817501643444</c:v>
                </c:pt>
                <c:pt idx="44">
                  <c:v>-98.934117112623042</c:v>
                </c:pt>
                <c:pt idx="45">
                  <c:v>-102.19437299423373</c:v>
                </c:pt>
                <c:pt idx="46">
                  <c:v>-105.42721487568545</c:v>
                </c:pt>
                <c:pt idx="47">
                  <c:v>-108.64051343337897</c:v>
                </c:pt>
                <c:pt idx="48">
                  <c:v>-111.83998700303755</c:v>
                </c:pt>
                <c:pt idx="49">
                  <c:v>-115.02973450940777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'サスペンションモデルの計算 (減衰付)'!$U$55</c:f>
              <c:strCache>
                <c:ptCount val="1"/>
                <c:pt idx="0">
                  <c:v>ホイール質量1/2</c:v>
                </c:pt>
              </c:strCache>
            </c:strRef>
          </c:tx>
          <c:spPr>
            <a:ln w="12700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Ref>
              <c:f>'サスペンションモデルの計算 (減衰付)'!$A$56:$A$105</c:f>
              <c:numCache>
                <c:formatCode>0.00_);[Red]\(0.00\)</c:formatCode>
                <c:ptCount val="50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0.17279999999999998</c:v>
                </c:pt>
                <c:pt idx="4">
                  <c:v>0.20735999999999996</c:v>
                </c:pt>
                <c:pt idx="5">
                  <c:v>0.24883199999999994</c:v>
                </c:pt>
                <c:pt idx="6">
                  <c:v>0.29859839999999993</c:v>
                </c:pt>
                <c:pt idx="7">
                  <c:v>0.35831807999999993</c:v>
                </c:pt>
                <c:pt idx="8">
                  <c:v>0.42998169599999991</c:v>
                </c:pt>
                <c:pt idx="9">
                  <c:v>0.51597803519999985</c:v>
                </c:pt>
                <c:pt idx="10">
                  <c:v>0.61917364223999982</c:v>
                </c:pt>
                <c:pt idx="11">
                  <c:v>0.74300837068799974</c:v>
                </c:pt>
                <c:pt idx="12">
                  <c:v>0.89161004482559969</c:v>
                </c:pt>
                <c:pt idx="13">
                  <c:v>1.0699320537907195</c:v>
                </c:pt>
                <c:pt idx="14">
                  <c:v>1.2839184645488635</c:v>
                </c:pt>
                <c:pt idx="15">
                  <c:v>1.5407021574586361</c:v>
                </c:pt>
                <c:pt idx="16">
                  <c:v>1.8488425889503632</c:v>
                </c:pt>
                <c:pt idx="17">
                  <c:v>2.2186111067404357</c:v>
                </c:pt>
                <c:pt idx="18">
                  <c:v>2.6623333280885229</c:v>
                </c:pt>
                <c:pt idx="19">
                  <c:v>3.1947999937062272</c:v>
                </c:pt>
                <c:pt idx="20">
                  <c:v>3.8337599924474723</c:v>
                </c:pt>
                <c:pt idx="21">
                  <c:v>4.6005119909369663</c:v>
                </c:pt>
                <c:pt idx="22">
                  <c:v>5.5206143891243595</c:v>
                </c:pt>
                <c:pt idx="23">
                  <c:v>6.6247372669492313</c:v>
                </c:pt>
                <c:pt idx="24">
                  <c:v>7.9496847203390768</c:v>
                </c:pt>
                <c:pt idx="25">
                  <c:v>9.5396216644068925</c:v>
                </c:pt>
                <c:pt idx="26">
                  <c:v>11.447545997288271</c:v>
                </c:pt>
                <c:pt idx="27">
                  <c:v>13.737055196745926</c:v>
                </c:pt>
                <c:pt idx="28">
                  <c:v>16.484466236095109</c:v>
                </c:pt>
                <c:pt idx="29">
                  <c:v>19.78135948331413</c:v>
                </c:pt>
                <c:pt idx="30">
                  <c:v>23.737631379976957</c:v>
                </c:pt>
                <c:pt idx="31">
                  <c:v>28.485157655972348</c:v>
                </c:pt>
                <c:pt idx="32">
                  <c:v>34.182189187166813</c:v>
                </c:pt>
                <c:pt idx="33">
                  <c:v>41.018627024600171</c:v>
                </c:pt>
                <c:pt idx="34">
                  <c:v>49.222352429520207</c:v>
                </c:pt>
                <c:pt idx="35">
                  <c:v>59.066822915424247</c:v>
                </c:pt>
                <c:pt idx="36">
                  <c:v>70.880187498509088</c:v>
                </c:pt>
                <c:pt idx="37">
                  <c:v>85.056224998210908</c:v>
                </c:pt>
                <c:pt idx="38">
                  <c:v>102.06746999785308</c:v>
                </c:pt>
                <c:pt idx="39">
                  <c:v>122.48096399742369</c:v>
                </c:pt>
                <c:pt idx="40">
                  <c:v>146.97715679690842</c:v>
                </c:pt>
                <c:pt idx="41">
                  <c:v>176.37258815629011</c:v>
                </c:pt>
                <c:pt idx="42">
                  <c:v>211.64710578754813</c:v>
                </c:pt>
                <c:pt idx="43">
                  <c:v>253.97652694505774</c:v>
                </c:pt>
                <c:pt idx="44">
                  <c:v>304.7718323340693</c:v>
                </c:pt>
                <c:pt idx="45">
                  <c:v>365.72619880088314</c:v>
                </c:pt>
                <c:pt idx="46">
                  <c:v>438.87143856105973</c:v>
                </c:pt>
                <c:pt idx="47">
                  <c:v>526.64572627327163</c:v>
                </c:pt>
                <c:pt idx="48">
                  <c:v>631.97487152792598</c:v>
                </c:pt>
                <c:pt idx="49">
                  <c:v>758.36984583351114</c:v>
                </c:pt>
              </c:numCache>
            </c:numRef>
          </c:xVal>
          <c:yVal>
            <c:numRef>
              <c:f>'サスペンションモデルの計算 (減衰付)'!$U$56:$U$105</c:f>
              <c:numCache>
                <c:formatCode>0.00E+00</c:formatCode>
                <c:ptCount val="50"/>
                <c:pt idx="0">
                  <c:v>5.6917539656382313E-2</c:v>
                </c:pt>
                <c:pt idx="1">
                  <c:v>8.2067482521512553E-2</c:v>
                </c:pt>
                <c:pt idx="2">
                  <c:v>0.11839835362527125</c:v>
                </c:pt>
                <c:pt idx="3">
                  <c:v>0.17095500383052686</c:v>
                </c:pt>
                <c:pt idx="4">
                  <c:v>0.24714018280302025</c:v>
                </c:pt>
                <c:pt idx="5">
                  <c:v>0.35790795060407304</c:v>
                </c:pt>
                <c:pt idx="6">
                  <c:v>0.5196655489517259</c:v>
                </c:pt>
                <c:pt idx="7">
                  <c:v>0.75742694983454428</c:v>
                </c:pt>
                <c:pt idx="8">
                  <c:v>1.1103284577035324</c:v>
                </c:pt>
                <c:pt idx="9">
                  <c:v>1.6419851520115887</c:v>
                </c:pt>
                <c:pt idx="10">
                  <c:v>2.4618458466907711</c:v>
                </c:pt>
                <c:pt idx="11">
                  <c:v>3.7749478298957118</c:v>
                </c:pt>
                <c:pt idx="12">
                  <c:v>6.0159844628645551</c:v>
                </c:pt>
                <c:pt idx="13">
                  <c:v>10.18453136704821</c:v>
                </c:pt>
                <c:pt idx="14">
                  <c:v>12.959450497509673</c:v>
                </c:pt>
                <c:pt idx="15">
                  <c:v>4.787182231578349</c:v>
                </c:pt>
                <c:pt idx="16">
                  <c:v>-1.461293431758002</c:v>
                </c:pt>
                <c:pt idx="17">
                  <c:v>-6.1935355438283093</c:v>
                </c:pt>
                <c:pt idx="18">
                  <c:v>-10.130046761903554</c:v>
                </c:pt>
                <c:pt idx="19">
                  <c:v>-13.568151723737707</c:v>
                </c:pt>
                <c:pt idx="20">
                  <c:v>-16.641049932870931</c:v>
                </c:pt>
                <c:pt idx="21">
                  <c:v>-19.411097192600415</c:v>
                </c:pt>
                <c:pt idx="22">
                  <c:v>-21.907627178650586</c:v>
                </c:pt>
                <c:pt idx="23">
                  <c:v>-24.143915980879676</c:v>
                </c:pt>
                <c:pt idx="24">
                  <c:v>-26.123689977189247</c:v>
                </c:pt>
                <c:pt idx="25">
                  <c:v>-27.841338908134702</c:v>
                </c:pt>
                <c:pt idx="26">
                  <c:v>-29.279966668961347</c:v>
                </c:pt>
                <c:pt idx="27">
                  <c:v>-30.417726726150534</c:v>
                </c:pt>
                <c:pt idx="28">
                  <c:v>-31.282861851959002</c:v>
                </c:pt>
                <c:pt idx="29">
                  <c:v>-32.204893664321418</c:v>
                </c:pt>
                <c:pt idx="30">
                  <c:v>-34.329215434317746</c:v>
                </c:pt>
                <c:pt idx="31">
                  <c:v>-38.608408056343066</c:v>
                </c:pt>
                <c:pt idx="32">
                  <c:v>-43.962050610948324</c:v>
                </c:pt>
                <c:pt idx="33">
                  <c:v>-49.310306710165641</c:v>
                </c:pt>
                <c:pt idx="34">
                  <c:v>-54.364366081822538</c:v>
                </c:pt>
                <c:pt idx="35">
                  <c:v>-59.107337021856083</c:v>
                </c:pt>
                <c:pt idx="36">
                  <c:v>-63.570393255986666</c:v>
                </c:pt>
                <c:pt idx="37">
                  <c:v>-67.786623395932935</c:v>
                </c:pt>
                <c:pt idx="38">
                  <c:v>-71.786744789741007</c:v>
                </c:pt>
                <c:pt idx="39">
                  <c:v>-75.601063894150613</c:v>
                </c:pt>
                <c:pt idx="40">
                  <c:v>-79.260175532620764</c:v>
                </c:pt>
                <c:pt idx="41">
                  <c:v>-82.79389311931196</c:v>
                </c:pt>
                <c:pt idx="42">
                  <c:v>-86.22954925965368</c:v>
                </c:pt>
                <c:pt idx="43">
                  <c:v>-89.590679519456984</c:v>
                </c:pt>
                <c:pt idx="44">
                  <c:v>-92.896479661352487</c:v>
                </c:pt>
                <c:pt idx="45">
                  <c:v>-96.161942851534832</c:v>
                </c:pt>
                <c:pt idx="46">
                  <c:v>-99.398400214220175</c:v>
                </c:pt>
                <c:pt idx="47">
                  <c:v>-102.61420917160493</c:v>
                </c:pt>
                <c:pt idx="48">
                  <c:v>-105.81542590135604</c:v>
                </c:pt>
                <c:pt idx="49">
                  <c:v>-109.00638385090014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'サスペンションモデルの計算 (減衰付)'!$V$55</c:f>
              <c:strCache>
                <c:ptCount val="1"/>
                <c:pt idx="0">
                  <c:v>タイヤばね1/2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'サスペンションモデルの計算 (減衰付)'!$A$56:$A$105</c:f>
              <c:numCache>
                <c:formatCode>0.00_);[Red]\(0.00\)</c:formatCode>
                <c:ptCount val="50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0.17279999999999998</c:v>
                </c:pt>
                <c:pt idx="4">
                  <c:v>0.20735999999999996</c:v>
                </c:pt>
                <c:pt idx="5">
                  <c:v>0.24883199999999994</c:v>
                </c:pt>
                <c:pt idx="6">
                  <c:v>0.29859839999999993</c:v>
                </c:pt>
                <c:pt idx="7">
                  <c:v>0.35831807999999993</c:v>
                </c:pt>
                <c:pt idx="8">
                  <c:v>0.42998169599999991</c:v>
                </c:pt>
                <c:pt idx="9">
                  <c:v>0.51597803519999985</c:v>
                </c:pt>
                <c:pt idx="10">
                  <c:v>0.61917364223999982</c:v>
                </c:pt>
                <c:pt idx="11">
                  <c:v>0.74300837068799974</c:v>
                </c:pt>
                <c:pt idx="12">
                  <c:v>0.89161004482559969</c:v>
                </c:pt>
                <c:pt idx="13">
                  <c:v>1.0699320537907195</c:v>
                </c:pt>
                <c:pt idx="14">
                  <c:v>1.2839184645488635</c:v>
                </c:pt>
                <c:pt idx="15">
                  <c:v>1.5407021574586361</c:v>
                </c:pt>
                <c:pt idx="16">
                  <c:v>1.8488425889503632</c:v>
                </c:pt>
                <c:pt idx="17">
                  <c:v>2.2186111067404357</c:v>
                </c:pt>
                <c:pt idx="18">
                  <c:v>2.6623333280885229</c:v>
                </c:pt>
                <c:pt idx="19">
                  <c:v>3.1947999937062272</c:v>
                </c:pt>
                <c:pt idx="20">
                  <c:v>3.8337599924474723</c:v>
                </c:pt>
                <c:pt idx="21">
                  <c:v>4.6005119909369663</c:v>
                </c:pt>
                <c:pt idx="22">
                  <c:v>5.5206143891243595</c:v>
                </c:pt>
                <c:pt idx="23">
                  <c:v>6.6247372669492313</c:v>
                </c:pt>
                <c:pt idx="24">
                  <c:v>7.9496847203390768</c:v>
                </c:pt>
                <c:pt idx="25">
                  <c:v>9.5396216644068925</c:v>
                </c:pt>
                <c:pt idx="26">
                  <c:v>11.447545997288271</c:v>
                </c:pt>
                <c:pt idx="27">
                  <c:v>13.737055196745926</c:v>
                </c:pt>
                <c:pt idx="28">
                  <c:v>16.484466236095109</c:v>
                </c:pt>
                <c:pt idx="29">
                  <c:v>19.78135948331413</c:v>
                </c:pt>
                <c:pt idx="30">
                  <c:v>23.737631379976957</c:v>
                </c:pt>
                <c:pt idx="31">
                  <c:v>28.485157655972348</c:v>
                </c:pt>
                <c:pt idx="32">
                  <c:v>34.182189187166813</c:v>
                </c:pt>
                <c:pt idx="33">
                  <c:v>41.018627024600171</c:v>
                </c:pt>
                <c:pt idx="34">
                  <c:v>49.222352429520207</c:v>
                </c:pt>
                <c:pt idx="35">
                  <c:v>59.066822915424247</c:v>
                </c:pt>
                <c:pt idx="36">
                  <c:v>70.880187498509088</c:v>
                </c:pt>
                <c:pt idx="37">
                  <c:v>85.056224998210908</c:v>
                </c:pt>
                <c:pt idx="38">
                  <c:v>102.06746999785308</c:v>
                </c:pt>
                <c:pt idx="39">
                  <c:v>122.48096399742369</c:v>
                </c:pt>
                <c:pt idx="40">
                  <c:v>146.97715679690842</c:v>
                </c:pt>
                <c:pt idx="41">
                  <c:v>176.37258815629011</c:v>
                </c:pt>
                <c:pt idx="42">
                  <c:v>211.64710578754813</c:v>
                </c:pt>
                <c:pt idx="43">
                  <c:v>253.97652694505774</c:v>
                </c:pt>
                <c:pt idx="44">
                  <c:v>304.7718323340693</c:v>
                </c:pt>
                <c:pt idx="45">
                  <c:v>365.72619880088314</c:v>
                </c:pt>
                <c:pt idx="46">
                  <c:v>438.87143856105973</c:v>
                </c:pt>
                <c:pt idx="47">
                  <c:v>526.64572627327163</c:v>
                </c:pt>
                <c:pt idx="48">
                  <c:v>631.97487152792598</c:v>
                </c:pt>
                <c:pt idx="49">
                  <c:v>758.36984583351114</c:v>
                </c:pt>
              </c:numCache>
            </c:numRef>
          </c:xVal>
          <c:yVal>
            <c:numRef>
              <c:f>'サスペンションモデルの計算 (減衰付)'!$V$56:$V$105</c:f>
              <c:numCache>
                <c:formatCode>0.00E+00</c:formatCode>
                <c:ptCount val="50"/>
                <c:pt idx="0">
                  <c:v>6.2611410026396808E-2</c:v>
                </c:pt>
                <c:pt idx="1">
                  <c:v>9.0289637651708721E-2</c:v>
                </c:pt>
                <c:pt idx="2">
                  <c:v>0.13028624629118313</c:v>
                </c:pt>
                <c:pt idx="3">
                  <c:v>0.18817409024183496</c:v>
                </c:pt>
                <c:pt idx="4">
                  <c:v>0.27214717902367891</c:v>
                </c:pt>
                <c:pt idx="5">
                  <c:v>0.39436602825165357</c:v>
                </c:pt>
                <c:pt idx="6">
                  <c:v>0.57312334324395187</c:v>
                </c:pt>
                <c:pt idx="7">
                  <c:v>0.83648508025568469</c:v>
                </c:pt>
                <c:pt idx="8">
                  <c:v>1.22878094244783</c:v>
                </c:pt>
                <c:pt idx="9">
                  <c:v>1.823115710938227</c:v>
                </c:pt>
                <c:pt idx="10">
                  <c:v>2.7481439692959424</c:v>
                </c:pt>
                <c:pt idx="11">
                  <c:v>4.2539834804968617</c:v>
                </c:pt>
                <c:pt idx="12">
                  <c:v>6.9057920392091869</c:v>
                </c:pt>
                <c:pt idx="13">
                  <c:v>12.075633597498161</c:v>
                </c:pt>
                <c:pt idx="14">
                  <c:v>11.848132556877083</c:v>
                </c:pt>
                <c:pt idx="15">
                  <c:v>3.2659549523687565</c:v>
                </c:pt>
                <c:pt idx="16">
                  <c:v>-2.5723877936387645</c:v>
                </c:pt>
                <c:pt idx="17">
                  <c:v>-7.0600647738661628</c:v>
                </c:pt>
                <c:pt idx="18">
                  <c:v>-10.814844482237566</c:v>
                </c:pt>
                <c:pt idx="19">
                  <c:v>-14.0794801839178</c:v>
                </c:pt>
                <c:pt idx="20">
                  <c:v>-16.952243323483462</c:v>
                </c:pt>
                <c:pt idx="21">
                  <c:v>-19.463485114536596</c:v>
                </c:pt>
                <c:pt idx="22">
                  <c:v>-21.606113793374803</c:v>
                </c:pt>
                <c:pt idx="23">
                  <c:v>-23.352339425985804</c:v>
                </c:pt>
                <c:pt idx="24">
                  <c:v>-24.684656462352173</c:v>
                </c:pt>
                <c:pt idx="25">
                  <c:v>-25.735025939599051</c:v>
                </c:pt>
                <c:pt idx="26">
                  <c:v>-27.279716567646318</c:v>
                </c:pt>
                <c:pt idx="27">
                  <c:v>-30.832039683221208</c:v>
                </c:pt>
                <c:pt idx="28">
                  <c:v>-36.133768755063535</c:v>
                </c:pt>
                <c:pt idx="29">
                  <c:v>-41.70890322954078</c:v>
                </c:pt>
                <c:pt idx="30">
                  <c:v>-46.988610532155207</c:v>
                </c:pt>
                <c:pt idx="31">
                  <c:v>-51.908427220518476</c:v>
                </c:pt>
                <c:pt idx="32">
                  <c:v>-56.505518004720379</c:v>
                </c:pt>
                <c:pt idx="33">
                  <c:v>-60.82405779959943</c:v>
                </c:pt>
                <c:pt idx="34">
                  <c:v>-64.903040121136968</c:v>
                </c:pt>
                <c:pt idx="35">
                  <c:v>-68.778233120448135</c:v>
                </c:pt>
                <c:pt idx="36">
                  <c:v>-72.483969014255138</c:v>
                </c:pt>
                <c:pt idx="37">
                  <c:v>-76.052907163964449</c:v>
                </c:pt>
                <c:pt idx="38">
                  <c:v>-79.514748192116144</c:v>
                </c:pt>
                <c:pt idx="39">
                  <c:v>-82.89505031015247</c:v>
                </c:pt>
                <c:pt idx="40">
                  <c:v>-86.214704117729639</c:v>
                </c:pt>
                <c:pt idx="41">
                  <c:v>-89.490072808958686</c:v>
                </c:pt>
                <c:pt idx="42">
                  <c:v>-92.733555502241899</c:v>
                </c:pt>
                <c:pt idx="43">
                  <c:v>-95.954317103366009</c:v>
                </c:pt>
                <c:pt idx="44">
                  <c:v>-99.159009987449082</c:v>
                </c:pt>
                <c:pt idx="45">
                  <c:v>-102.3524000917256</c:v>
                </c:pt>
                <c:pt idx="46">
                  <c:v>-105.53787023658886</c:v>
                </c:pt>
                <c:pt idx="47">
                  <c:v>-108.71780578747263</c:v>
                </c:pt>
                <c:pt idx="48">
                  <c:v>-111.89388101188185</c:v>
                </c:pt>
                <c:pt idx="49">
                  <c:v>-115.06726726919177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'サスペンションモデルの計算 (減衰付)'!$W$55</c:f>
              <c:strCache>
                <c:ptCount val="1"/>
                <c:pt idx="0">
                  <c:v>サスばね1/2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none"/>
          </c:marker>
          <c:xVal>
            <c:numRef>
              <c:f>'サスペンションモデルの計算 (減衰付)'!$A$56:$A$105</c:f>
              <c:numCache>
                <c:formatCode>0.00_);[Red]\(0.00\)</c:formatCode>
                <c:ptCount val="50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0.17279999999999998</c:v>
                </c:pt>
                <c:pt idx="4">
                  <c:v>0.20735999999999996</c:v>
                </c:pt>
                <c:pt idx="5">
                  <c:v>0.24883199999999994</c:v>
                </c:pt>
                <c:pt idx="6">
                  <c:v>0.29859839999999993</c:v>
                </c:pt>
                <c:pt idx="7">
                  <c:v>0.35831807999999993</c:v>
                </c:pt>
                <c:pt idx="8">
                  <c:v>0.42998169599999991</c:v>
                </c:pt>
                <c:pt idx="9">
                  <c:v>0.51597803519999985</c:v>
                </c:pt>
                <c:pt idx="10">
                  <c:v>0.61917364223999982</c:v>
                </c:pt>
                <c:pt idx="11">
                  <c:v>0.74300837068799974</c:v>
                </c:pt>
                <c:pt idx="12">
                  <c:v>0.89161004482559969</c:v>
                </c:pt>
                <c:pt idx="13">
                  <c:v>1.0699320537907195</c:v>
                </c:pt>
                <c:pt idx="14">
                  <c:v>1.2839184645488635</c:v>
                </c:pt>
                <c:pt idx="15">
                  <c:v>1.5407021574586361</c:v>
                </c:pt>
                <c:pt idx="16">
                  <c:v>1.8488425889503632</c:v>
                </c:pt>
                <c:pt idx="17">
                  <c:v>2.2186111067404357</c:v>
                </c:pt>
                <c:pt idx="18">
                  <c:v>2.6623333280885229</c:v>
                </c:pt>
                <c:pt idx="19">
                  <c:v>3.1947999937062272</c:v>
                </c:pt>
                <c:pt idx="20">
                  <c:v>3.8337599924474723</c:v>
                </c:pt>
                <c:pt idx="21">
                  <c:v>4.6005119909369663</c:v>
                </c:pt>
                <c:pt idx="22">
                  <c:v>5.5206143891243595</c:v>
                </c:pt>
                <c:pt idx="23">
                  <c:v>6.6247372669492313</c:v>
                </c:pt>
                <c:pt idx="24">
                  <c:v>7.9496847203390768</c:v>
                </c:pt>
                <c:pt idx="25">
                  <c:v>9.5396216644068925</c:v>
                </c:pt>
                <c:pt idx="26">
                  <c:v>11.447545997288271</c:v>
                </c:pt>
                <c:pt idx="27">
                  <c:v>13.737055196745926</c:v>
                </c:pt>
                <c:pt idx="28">
                  <c:v>16.484466236095109</c:v>
                </c:pt>
                <c:pt idx="29">
                  <c:v>19.78135948331413</c:v>
                </c:pt>
                <c:pt idx="30">
                  <c:v>23.737631379976957</c:v>
                </c:pt>
                <c:pt idx="31">
                  <c:v>28.485157655972348</c:v>
                </c:pt>
                <c:pt idx="32">
                  <c:v>34.182189187166813</c:v>
                </c:pt>
                <c:pt idx="33">
                  <c:v>41.018627024600171</c:v>
                </c:pt>
                <c:pt idx="34">
                  <c:v>49.222352429520207</c:v>
                </c:pt>
                <c:pt idx="35">
                  <c:v>59.066822915424247</c:v>
                </c:pt>
                <c:pt idx="36">
                  <c:v>70.880187498509088</c:v>
                </c:pt>
                <c:pt idx="37">
                  <c:v>85.056224998210908</c:v>
                </c:pt>
                <c:pt idx="38">
                  <c:v>102.06746999785308</c:v>
                </c:pt>
                <c:pt idx="39">
                  <c:v>122.48096399742369</c:v>
                </c:pt>
                <c:pt idx="40">
                  <c:v>146.97715679690842</c:v>
                </c:pt>
                <c:pt idx="41">
                  <c:v>176.37258815629011</c:v>
                </c:pt>
                <c:pt idx="42">
                  <c:v>211.64710578754813</c:v>
                </c:pt>
                <c:pt idx="43">
                  <c:v>253.97652694505774</c:v>
                </c:pt>
                <c:pt idx="44">
                  <c:v>304.7718323340693</c:v>
                </c:pt>
                <c:pt idx="45">
                  <c:v>365.72619880088314</c:v>
                </c:pt>
                <c:pt idx="46">
                  <c:v>438.87143856105973</c:v>
                </c:pt>
                <c:pt idx="47">
                  <c:v>526.64572627327163</c:v>
                </c:pt>
                <c:pt idx="48">
                  <c:v>631.97487152792598</c:v>
                </c:pt>
                <c:pt idx="49">
                  <c:v>758.36984583351114</c:v>
                </c:pt>
              </c:numCache>
            </c:numRef>
          </c:xVal>
          <c:yVal>
            <c:numRef>
              <c:f>'サスペンションモデルの計算 (減衰付)'!$W$56:$W$105</c:f>
              <c:numCache>
                <c:formatCode>0.00E+00</c:formatCode>
                <c:ptCount val="50"/>
                <c:pt idx="0">
                  <c:v>0.10888676125106794</c:v>
                </c:pt>
                <c:pt idx="1">
                  <c:v>0.15713478733004088</c:v>
                </c:pt>
                <c:pt idx="2">
                  <c:v>0.22697910925517056</c:v>
                </c:pt>
                <c:pt idx="3">
                  <c:v>0.32832522990738572</c:v>
                </c:pt>
                <c:pt idx="4">
                  <c:v>0.47588800673084553</c:v>
                </c:pt>
                <c:pt idx="5">
                  <c:v>0.69182905897628821</c:v>
                </c:pt>
                <c:pt idx="6">
                  <c:v>1.0101916352228819</c:v>
                </c:pt>
                <c:pt idx="7">
                  <c:v>1.4847703635379768</c:v>
                </c:pt>
                <c:pt idx="8">
                  <c:v>2.2040114299146039</c:v>
                </c:pt>
                <c:pt idx="9">
                  <c:v>3.3210924351892275</c:v>
                </c:pt>
                <c:pt idx="10">
                  <c:v>5.1137168088381149</c:v>
                </c:pt>
                <c:pt idx="11">
                  <c:v>7.9983180213079059</c:v>
                </c:pt>
                <c:pt idx="12">
                  <c:v>10.36263464345633</c:v>
                </c:pt>
                <c:pt idx="13">
                  <c:v>5.6157806867920721</c:v>
                </c:pt>
                <c:pt idx="14">
                  <c:v>-0.15935116091623291</c:v>
                </c:pt>
                <c:pt idx="15">
                  <c:v>-4.7544312362887364</c:v>
                </c:pt>
                <c:pt idx="16">
                  <c:v>-8.5443487056016352</c:v>
                </c:pt>
                <c:pt idx="17">
                  <c:v>-11.793232645050066</c:v>
                </c:pt>
                <c:pt idx="18">
                  <c:v>-14.639002251122491</c:v>
                </c:pt>
                <c:pt idx="19">
                  <c:v>-17.157510588699537</c:v>
                </c:pt>
                <c:pt idx="20">
                  <c:v>-19.39390915532784</c:v>
                </c:pt>
                <c:pt idx="21">
                  <c:v>-21.374808513421861</c:v>
                </c:pt>
                <c:pt idx="22">
                  <c:v>-23.109990213349022</c:v>
                </c:pt>
                <c:pt idx="23">
                  <c:v>-24.587857658605586</c:v>
                </c:pt>
                <c:pt idx="24">
                  <c:v>-25.766336274047354</c:v>
                </c:pt>
                <c:pt idx="25">
                  <c:v>-26.56183171170035</c:v>
                </c:pt>
                <c:pt idx="26">
                  <c:v>-26.863769296838083</c:v>
                </c:pt>
                <c:pt idx="27">
                  <c:v>-26.812586668038026</c:v>
                </c:pt>
                <c:pt idx="28">
                  <c:v>-28.293813522322793</c:v>
                </c:pt>
                <c:pt idx="29">
                  <c:v>-33.566455100462825</c:v>
                </c:pt>
                <c:pt idx="30">
                  <c:v>-39.919098849671421</c:v>
                </c:pt>
                <c:pt idx="31">
                  <c:v>-45.841768454593812</c:v>
                </c:pt>
                <c:pt idx="32">
                  <c:v>-51.278918077021565</c:v>
                </c:pt>
                <c:pt idx="33">
                  <c:v>-56.342755656515351</c:v>
                </c:pt>
                <c:pt idx="34">
                  <c:v>-61.114464120798921</c:v>
                </c:pt>
                <c:pt idx="35">
                  <c:v>-65.640833265009931</c:v>
                </c:pt>
                <c:pt idx="36">
                  <c:v>-69.948479998455227</c:v>
                </c:pt>
                <c:pt idx="37">
                  <c:v>-74.055628838642875</c:v>
                </c:pt>
                <c:pt idx="38">
                  <c:v>-77.97978074605011</c:v>
                </c:pt>
                <c:pt idx="39">
                  <c:v>-81.741335634738533</c:v>
                </c:pt>
                <c:pt idx="40">
                  <c:v>-85.363831140780363</c:v>
                </c:pt>
                <c:pt idx="41">
                  <c:v>-88.872142343716575</c:v>
                </c:pt>
                <c:pt idx="42">
                  <c:v>-92.290168408910233</c:v>
                </c:pt>
                <c:pt idx="43">
                  <c:v>-95.639062879161116</c:v>
                </c:pt>
                <c:pt idx="44">
                  <c:v>-98.93636977733253</c:v>
                </c:pt>
                <c:pt idx="45">
                  <c:v>-102.19593682939046</c:v>
                </c:pt>
                <c:pt idx="46">
                  <c:v>-105.42830062397394</c:v>
                </c:pt>
                <c:pt idx="47">
                  <c:v>-108.64126730553775</c:v>
                </c:pt>
                <c:pt idx="48">
                  <c:v>-111.84051046765995</c:v>
                </c:pt>
                <c:pt idx="49">
                  <c:v>-115.03009799868235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89792"/>
        <c:axId val="208704256"/>
      </c:scatterChart>
      <c:valAx>
        <c:axId val="208689792"/>
        <c:scaling>
          <c:logBase val="10"/>
          <c:orientation val="minMax"/>
          <c:max val="100"/>
          <c:min val="0.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周波数</a:t>
                </a:r>
                <a:r>
                  <a:rPr lang="en-US" altLang="ja-JP"/>
                  <a:t>(</a:t>
                </a:r>
                <a:r>
                  <a:rPr lang="en-US" altLang="en-US"/>
                  <a:t>Hz)</a:t>
                </a:r>
              </a:p>
            </c:rich>
          </c:tx>
          <c:layout>
            <c:manualLayout>
              <c:xMode val="edge"/>
              <c:yMode val="edge"/>
              <c:x val="0.4575728942973038"/>
              <c:y val="0.887697482259162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8704256"/>
        <c:crossesAt val="-100"/>
        <c:crossBetween val="midCat"/>
      </c:valAx>
      <c:valAx>
        <c:axId val="208704256"/>
        <c:scaling>
          <c:orientation val="minMax"/>
          <c:max val="30"/>
          <c:min val="-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振動伝達率(dB)</a:t>
                </a:r>
              </a:p>
            </c:rich>
          </c:tx>
          <c:layout>
            <c:manualLayout>
              <c:xMode val="edge"/>
              <c:yMode val="edge"/>
              <c:x val="2.2601852454393615E-2"/>
              <c:y val="0.311458475098020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8689792"/>
        <c:crossesAt val="0.1"/>
        <c:crossBetween val="midCat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934738942756122"/>
          <c:y val="0.54074203687502032"/>
          <c:w val="0.27556330665278411"/>
          <c:h val="0.209877061663588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4269933995931"/>
          <c:y val="6.4356435643564358E-2"/>
          <c:w val="0.80595731289405903"/>
          <c:h val="0.7652349515221442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'サスペンションモデルの計算 (減衰付)'!$B$55</c:f>
              <c:strCache>
                <c:ptCount val="1"/>
                <c:pt idx="0">
                  <c:v>標準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'サスペンションモデルの計算 (減衰付)'!$A$56:$A$105</c:f>
              <c:numCache>
                <c:formatCode>0.00_);[Red]\(0.00\)</c:formatCode>
                <c:ptCount val="50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0.17279999999999998</c:v>
                </c:pt>
                <c:pt idx="4">
                  <c:v>0.20735999999999996</c:v>
                </c:pt>
                <c:pt idx="5">
                  <c:v>0.24883199999999994</c:v>
                </c:pt>
                <c:pt idx="6">
                  <c:v>0.29859839999999993</c:v>
                </c:pt>
                <c:pt idx="7">
                  <c:v>0.35831807999999993</c:v>
                </c:pt>
                <c:pt idx="8">
                  <c:v>0.42998169599999991</c:v>
                </c:pt>
                <c:pt idx="9">
                  <c:v>0.51597803519999985</c:v>
                </c:pt>
                <c:pt idx="10">
                  <c:v>0.61917364223999982</c:v>
                </c:pt>
                <c:pt idx="11">
                  <c:v>0.74300837068799974</c:v>
                </c:pt>
                <c:pt idx="12">
                  <c:v>0.89161004482559969</c:v>
                </c:pt>
                <c:pt idx="13">
                  <c:v>1.0699320537907195</c:v>
                </c:pt>
                <c:pt idx="14">
                  <c:v>1.2839184645488635</c:v>
                </c:pt>
                <c:pt idx="15">
                  <c:v>1.5407021574586361</c:v>
                </c:pt>
                <c:pt idx="16">
                  <c:v>1.8488425889503632</c:v>
                </c:pt>
                <c:pt idx="17">
                  <c:v>2.2186111067404357</c:v>
                </c:pt>
                <c:pt idx="18">
                  <c:v>2.6623333280885229</c:v>
                </c:pt>
                <c:pt idx="19">
                  <c:v>3.1947999937062272</c:v>
                </c:pt>
                <c:pt idx="20">
                  <c:v>3.8337599924474723</c:v>
                </c:pt>
                <c:pt idx="21">
                  <c:v>4.6005119909369663</c:v>
                </c:pt>
                <c:pt idx="22">
                  <c:v>5.5206143891243595</c:v>
                </c:pt>
                <c:pt idx="23">
                  <c:v>6.6247372669492313</c:v>
                </c:pt>
                <c:pt idx="24">
                  <c:v>7.9496847203390768</c:v>
                </c:pt>
                <c:pt idx="25">
                  <c:v>9.5396216644068925</c:v>
                </c:pt>
                <c:pt idx="26">
                  <c:v>11.447545997288271</c:v>
                </c:pt>
                <c:pt idx="27">
                  <c:v>13.737055196745926</c:v>
                </c:pt>
                <c:pt idx="28">
                  <c:v>16.484466236095109</c:v>
                </c:pt>
                <c:pt idx="29">
                  <c:v>19.78135948331413</c:v>
                </c:pt>
                <c:pt idx="30">
                  <c:v>23.737631379976957</c:v>
                </c:pt>
                <c:pt idx="31">
                  <c:v>28.485157655972348</c:v>
                </c:pt>
                <c:pt idx="32">
                  <c:v>34.182189187166813</c:v>
                </c:pt>
                <c:pt idx="33">
                  <c:v>41.018627024600171</c:v>
                </c:pt>
                <c:pt idx="34">
                  <c:v>49.222352429520207</c:v>
                </c:pt>
                <c:pt idx="35">
                  <c:v>59.066822915424247</c:v>
                </c:pt>
                <c:pt idx="36">
                  <c:v>70.880187498509088</c:v>
                </c:pt>
                <c:pt idx="37">
                  <c:v>85.056224998210908</c:v>
                </c:pt>
                <c:pt idx="38">
                  <c:v>102.06746999785308</c:v>
                </c:pt>
                <c:pt idx="39">
                  <c:v>122.48096399742369</c:v>
                </c:pt>
                <c:pt idx="40">
                  <c:v>146.97715679690842</c:v>
                </c:pt>
                <c:pt idx="41">
                  <c:v>176.37258815629011</c:v>
                </c:pt>
                <c:pt idx="42">
                  <c:v>211.64710578754813</c:v>
                </c:pt>
                <c:pt idx="43">
                  <c:v>253.97652694505774</c:v>
                </c:pt>
                <c:pt idx="44">
                  <c:v>304.7718323340693</c:v>
                </c:pt>
                <c:pt idx="45">
                  <c:v>365.72619880088314</c:v>
                </c:pt>
                <c:pt idx="46">
                  <c:v>438.87143856105973</c:v>
                </c:pt>
                <c:pt idx="47">
                  <c:v>526.64572627327163</c:v>
                </c:pt>
                <c:pt idx="48">
                  <c:v>631.97487152792598</c:v>
                </c:pt>
                <c:pt idx="49">
                  <c:v>758.36984583351114</c:v>
                </c:pt>
              </c:numCache>
            </c:numRef>
          </c:xVal>
          <c:yVal>
            <c:numRef>
              <c:f>'サスペンションモデルの計算 (減衰付)'!$B$56:$B$105</c:f>
              <c:numCache>
                <c:formatCode>0.00_ </c:formatCode>
                <c:ptCount val="50"/>
                <c:pt idx="0">
                  <c:v>1.9869374524908404E-2</c:v>
                </c:pt>
                <c:pt idx="1">
                  <c:v>2.8695114563805996E-2</c:v>
                </c:pt>
                <c:pt idx="2">
                  <c:v>4.1494682155561881E-2</c:v>
                </c:pt>
                <c:pt idx="3">
                  <c:v>6.0116074442825483E-2</c:v>
                </c:pt>
                <c:pt idx="4">
                  <c:v>8.7332055145561499E-2</c:v>
                </c:pt>
                <c:pt idx="5">
                  <c:v>0.1273769631839049</c:v>
                </c:pt>
                <c:pt idx="6">
                  <c:v>0.18688087255294689</c:v>
                </c:pt>
                <c:pt idx="7">
                  <c:v>0.27659832883523511</c:v>
                </c:pt>
                <c:pt idx="8">
                  <c:v>0.41486485951112867</c:v>
                </c:pt>
                <c:pt idx="9">
                  <c:v>0.63522002298710012</c:v>
                </c:pt>
                <c:pt idx="10">
                  <c:v>1.0055087865671668</c:v>
                </c:pt>
                <c:pt idx="11">
                  <c:v>1.6848544596479749</c:v>
                </c:pt>
                <c:pt idx="12">
                  <c:v>3.1421376308233318</c:v>
                </c:pt>
                <c:pt idx="13">
                  <c:v>7.3189019203993952</c:v>
                </c:pt>
                <c:pt idx="14">
                  <c:v>14.511812190529517</c:v>
                </c:pt>
                <c:pt idx="15">
                  <c:v>8.1617611175319276</c:v>
                </c:pt>
                <c:pt idx="16">
                  <c:v>5.7356351004680626</c:v>
                </c:pt>
                <c:pt idx="17">
                  <c:v>4.8033936625898415</c:v>
                </c:pt>
                <c:pt idx="18">
                  <c:v>4.4139553195349857</c:v>
                </c:pt>
                <c:pt idx="19">
                  <c:v>4.3033613853805912</c:v>
                </c:pt>
                <c:pt idx="20">
                  <c:v>4.3873496968861714</c:v>
                </c:pt>
                <c:pt idx="21">
                  <c:v>4.6500689823776273</c:v>
                </c:pt>
                <c:pt idx="22">
                  <c:v>5.116665244707681</c:v>
                </c:pt>
                <c:pt idx="23">
                  <c:v>5.8546966453046307</c:v>
                </c:pt>
                <c:pt idx="24">
                  <c:v>6.9993477957992569</c:v>
                </c:pt>
                <c:pt idx="25">
                  <c:v>8.820516139198606</c:v>
                </c:pt>
                <c:pt idx="26">
                  <c:v>11.867260763806929</c:v>
                </c:pt>
                <c:pt idx="27">
                  <c:v>16.942535026632971</c:v>
                </c:pt>
                <c:pt idx="28">
                  <c:v>21.411388821023774</c:v>
                </c:pt>
                <c:pt idx="29">
                  <c:v>17.291311436549659</c:v>
                </c:pt>
                <c:pt idx="30">
                  <c:v>11.79936798377063</c:v>
                </c:pt>
                <c:pt idx="31">
                  <c:v>8.4537926522883104</c:v>
                </c:pt>
                <c:pt idx="32">
                  <c:v>6.4380262980773715</c:v>
                </c:pt>
                <c:pt idx="33">
                  <c:v>5.1375750393366877</c:v>
                </c:pt>
                <c:pt idx="34">
                  <c:v>4.2504137303991678</c:v>
                </c:pt>
                <c:pt idx="35">
                  <c:v>3.6229267400399809</c:v>
                </c:pt>
                <c:pt idx="36">
                  <c:v>3.1701370811214846</c:v>
                </c:pt>
                <c:pt idx="37">
                  <c:v>2.8407000583796953</c:v>
                </c:pt>
                <c:pt idx="38">
                  <c:v>2.6009279236877791</c:v>
                </c:pt>
                <c:pt idx="39">
                  <c:v>2.42717717076088</c:v>
                </c:pt>
                <c:pt idx="40">
                  <c:v>2.3020984976346974</c:v>
                </c:pt>
                <c:pt idx="41">
                  <c:v>2.2126964706780745</c:v>
                </c:pt>
                <c:pt idx="42">
                  <c:v>2.1492147661522969</c:v>
                </c:pt>
                <c:pt idx="43">
                  <c:v>2.1043890148566007</c:v>
                </c:pt>
                <c:pt idx="44">
                  <c:v>2.0728770231059266</c:v>
                </c:pt>
                <c:pt idx="45">
                  <c:v>2.0507996546152034</c:v>
                </c:pt>
                <c:pt idx="46">
                  <c:v>2.0353712402313193</c:v>
                </c:pt>
                <c:pt idx="47">
                  <c:v>2.0246091621049493</c:v>
                </c:pt>
                <c:pt idx="48">
                  <c:v>2.0171119926613321</c:v>
                </c:pt>
                <c:pt idx="49">
                  <c:v>2.011894151917875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'サスペンションモデルの計算 (減衰付)'!$C$55</c:f>
              <c:strCache>
                <c:ptCount val="1"/>
                <c:pt idx="0">
                  <c:v>ホイール質量1/2</c:v>
                </c:pt>
              </c:strCache>
            </c:strRef>
          </c:tx>
          <c:spPr>
            <a:ln w="12700">
              <a:solidFill>
                <a:schemeClr val="tx2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'サスペンションモデルの計算 (減衰付)'!$A$56:$A$105</c:f>
              <c:numCache>
                <c:formatCode>0.00_);[Red]\(0.00\)</c:formatCode>
                <c:ptCount val="50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0.17279999999999998</c:v>
                </c:pt>
                <c:pt idx="4">
                  <c:v>0.20735999999999996</c:v>
                </c:pt>
                <c:pt idx="5">
                  <c:v>0.24883199999999994</c:v>
                </c:pt>
                <c:pt idx="6">
                  <c:v>0.29859839999999993</c:v>
                </c:pt>
                <c:pt idx="7">
                  <c:v>0.35831807999999993</c:v>
                </c:pt>
                <c:pt idx="8">
                  <c:v>0.42998169599999991</c:v>
                </c:pt>
                <c:pt idx="9">
                  <c:v>0.51597803519999985</c:v>
                </c:pt>
                <c:pt idx="10">
                  <c:v>0.61917364223999982</c:v>
                </c:pt>
                <c:pt idx="11">
                  <c:v>0.74300837068799974</c:v>
                </c:pt>
                <c:pt idx="12">
                  <c:v>0.89161004482559969</c:v>
                </c:pt>
                <c:pt idx="13">
                  <c:v>1.0699320537907195</c:v>
                </c:pt>
                <c:pt idx="14">
                  <c:v>1.2839184645488635</c:v>
                </c:pt>
                <c:pt idx="15">
                  <c:v>1.5407021574586361</c:v>
                </c:pt>
                <c:pt idx="16">
                  <c:v>1.8488425889503632</c:v>
                </c:pt>
                <c:pt idx="17">
                  <c:v>2.2186111067404357</c:v>
                </c:pt>
                <c:pt idx="18">
                  <c:v>2.6623333280885229</c:v>
                </c:pt>
                <c:pt idx="19">
                  <c:v>3.1947999937062272</c:v>
                </c:pt>
                <c:pt idx="20">
                  <c:v>3.8337599924474723</c:v>
                </c:pt>
                <c:pt idx="21">
                  <c:v>4.6005119909369663</c:v>
                </c:pt>
                <c:pt idx="22">
                  <c:v>5.5206143891243595</c:v>
                </c:pt>
                <c:pt idx="23">
                  <c:v>6.6247372669492313</c:v>
                </c:pt>
                <c:pt idx="24">
                  <c:v>7.9496847203390768</c:v>
                </c:pt>
                <c:pt idx="25">
                  <c:v>9.5396216644068925</c:v>
                </c:pt>
                <c:pt idx="26">
                  <c:v>11.447545997288271</c:v>
                </c:pt>
                <c:pt idx="27">
                  <c:v>13.737055196745926</c:v>
                </c:pt>
                <c:pt idx="28">
                  <c:v>16.484466236095109</c:v>
                </c:pt>
                <c:pt idx="29">
                  <c:v>19.78135948331413</c:v>
                </c:pt>
                <c:pt idx="30">
                  <c:v>23.737631379976957</c:v>
                </c:pt>
                <c:pt idx="31">
                  <c:v>28.485157655972348</c:v>
                </c:pt>
                <c:pt idx="32">
                  <c:v>34.182189187166813</c:v>
                </c:pt>
                <c:pt idx="33">
                  <c:v>41.018627024600171</c:v>
                </c:pt>
                <c:pt idx="34">
                  <c:v>49.222352429520207</c:v>
                </c:pt>
                <c:pt idx="35">
                  <c:v>59.066822915424247</c:v>
                </c:pt>
                <c:pt idx="36">
                  <c:v>70.880187498509088</c:v>
                </c:pt>
                <c:pt idx="37">
                  <c:v>85.056224998210908</c:v>
                </c:pt>
                <c:pt idx="38">
                  <c:v>102.06746999785308</c:v>
                </c:pt>
                <c:pt idx="39">
                  <c:v>122.48096399742369</c:v>
                </c:pt>
                <c:pt idx="40">
                  <c:v>146.97715679690842</c:v>
                </c:pt>
                <c:pt idx="41">
                  <c:v>176.37258815629011</c:v>
                </c:pt>
                <c:pt idx="42">
                  <c:v>211.64710578754813</c:v>
                </c:pt>
                <c:pt idx="43">
                  <c:v>253.97652694505774</c:v>
                </c:pt>
                <c:pt idx="44">
                  <c:v>304.7718323340693</c:v>
                </c:pt>
                <c:pt idx="45">
                  <c:v>365.72619880088314</c:v>
                </c:pt>
                <c:pt idx="46">
                  <c:v>438.87143856105973</c:v>
                </c:pt>
                <c:pt idx="47">
                  <c:v>526.64572627327163</c:v>
                </c:pt>
                <c:pt idx="48">
                  <c:v>631.97487152792598</c:v>
                </c:pt>
                <c:pt idx="49">
                  <c:v>758.36984583351114</c:v>
                </c:pt>
              </c:numCache>
            </c:numRef>
          </c:xVal>
          <c:yVal>
            <c:numRef>
              <c:f>'サスペンションモデルの計算 (減衰付)'!$C$56:$C$105</c:f>
              <c:numCache>
                <c:formatCode>0.00_ </c:formatCode>
                <c:ptCount val="50"/>
                <c:pt idx="0">
                  <c:v>1.986898207826799E-2</c:v>
                </c:pt>
                <c:pt idx="1">
                  <c:v>2.8694298197176581E-2</c:v>
                </c:pt>
                <c:pt idx="2">
                  <c:v>4.1492981549250081E-2</c:v>
                </c:pt>
                <c:pt idx="3">
                  <c:v>6.0112524561271467E-2</c:v>
                </c:pt>
                <c:pt idx="4">
                  <c:v>8.7324622840435989E-2</c:v>
                </c:pt>
                <c:pt idx="5">
                  <c:v>0.12736133393594887</c:v>
                </c:pt>
                <c:pt idx="6">
                  <c:v>0.18684779241255051</c:v>
                </c:pt>
                <c:pt idx="7">
                  <c:v>0.27652763108480022</c:v>
                </c:pt>
                <c:pt idx="8">
                  <c:v>0.41471152113209736</c:v>
                </c:pt>
                <c:pt idx="9">
                  <c:v>0.63487968039542353</c:v>
                </c:pt>
                <c:pt idx="10">
                  <c:v>1.0047244115542953</c:v>
                </c:pt>
                <c:pt idx="11">
                  <c:v>1.6829241615756831</c:v>
                </c:pt>
                <c:pt idx="12">
                  <c:v>3.1367425077800442</c:v>
                </c:pt>
                <c:pt idx="13">
                  <c:v>7.2990897979210416</c:v>
                </c:pt>
                <c:pt idx="14">
                  <c:v>14.466955822303641</c:v>
                </c:pt>
                <c:pt idx="15">
                  <c:v>8.1306681161314458</c:v>
                </c:pt>
                <c:pt idx="16">
                  <c:v>5.7024953917200589</c:v>
                </c:pt>
                <c:pt idx="17">
                  <c:v>4.7622844208435371</c:v>
                </c:pt>
                <c:pt idx="18">
                  <c:v>4.358652650962993</c:v>
                </c:pt>
                <c:pt idx="19">
                  <c:v>4.2248325906904558</c:v>
                </c:pt>
                <c:pt idx="20">
                  <c:v>4.2709755606201556</c:v>
                </c:pt>
                <c:pt idx="21">
                  <c:v>4.470820312573208</c:v>
                </c:pt>
                <c:pt idx="22">
                  <c:v>4.8297339531749532</c:v>
                </c:pt>
                <c:pt idx="23">
                  <c:v>5.376148548318687</c:v>
                </c:pt>
                <c:pt idx="24">
                  <c:v>6.1637505242672344</c:v>
                </c:pt>
                <c:pt idx="25">
                  <c:v>7.2832479961640546</c:v>
                </c:pt>
                <c:pt idx="26">
                  <c:v>8.8870209114934244</c:v>
                </c:pt>
                <c:pt idx="27">
                  <c:v>11.226146135519645</c:v>
                </c:pt>
                <c:pt idx="28">
                  <c:v>14.633102918672014</c:v>
                </c:pt>
                <c:pt idx="29">
                  <c:v>18.949481386363747</c:v>
                </c:pt>
                <c:pt idx="30">
                  <c:v>21.367008963265548</c:v>
                </c:pt>
                <c:pt idx="31">
                  <c:v>18.799512746552331</c:v>
                </c:pt>
                <c:pt idx="32">
                  <c:v>14.615946933829385</c:v>
                </c:pt>
                <c:pt idx="33">
                  <c:v>11.370423606627739</c:v>
                </c:pt>
                <c:pt idx="34">
                  <c:v>9.1503175972016866</c:v>
                </c:pt>
                <c:pt idx="35">
                  <c:v>7.6322065174819951</c:v>
                </c:pt>
                <c:pt idx="36">
                  <c:v>6.5744555535473692</c:v>
                </c:pt>
                <c:pt idx="37">
                  <c:v>5.8265406236896125</c:v>
                </c:pt>
                <c:pt idx="38">
                  <c:v>5.2937959966811965</c:v>
                </c:pt>
                <c:pt idx="39">
                  <c:v>4.9137577076801655</c:v>
                </c:pt>
                <c:pt idx="40">
                  <c:v>4.6432348269631776</c:v>
                </c:pt>
                <c:pt idx="41">
                  <c:v>4.4514065549850619</c:v>
                </c:pt>
                <c:pt idx="42">
                  <c:v>4.315955379390636</c:v>
                </c:pt>
                <c:pt idx="43">
                  <c:v>4.2206848470901024</c:v>
                </c:pt>
                <c:pt idx="44">
                  <c:v>4.1538940024796851</c:v>
                </c:pt>
                <c:pt idx="45">
                  <c:v>4.1071895161114771</c:v>
                </c:pt>
                <c:pt idx="46">
                  <c:v>4.0745942381887783</c:v>
                </c:pt>
                <c:pt idx="47">
                  <c:v>4.0518784706986235</c:v>
                </c:pt>
                <c:pt idx="48">
                  <c:v>4.0360642073820534</c:v>
                </c:pt>
                <c:pt idx="49">
                  <c:v>4.0250628041756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'サスペンションモデルの計算 (減衰付)'!$D$55</c:f>
              <c:strCache>
                <c:ptCount val="1"/>
                <c:pt idx="0">
                  <c:v>タイヤばね1/2</c:v>
                </c:pt>
              </c:strCache>
            </c:strRef>
          </c:tx>
          <c:spPr>
            <a:ln w="127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'サスペンションモデルの計算 (減衰付)'!$A$56:$A$105</c:f>
              <c:numCache>
                <c:formatCode>0.00_);[Red]\(0.00\)</c:formatCode>
                <c:ptCount val="50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0.17279999999999998</c:v>
                </c:pt>
                <c:pt idx="4">
                  <c:v>0.20735999999999996</c:v>
                </c:pt>
                <c:pt idx="5">
                  <c:v>0.24883199999999994</c:v>
                </c:pt>
                <c:pt idx="6">
                  <c:v>0.29859839999999993</c:v>
                </c:pt>
                <c:pt idx="7">
                  <c:v>0.35831807999999993</c:v>
                </c:pt>
                <c:pt idx="8">
                  <c:v>0.42998169599999991</c:v>
                </c:pt>
                <c:pt idx="9">
                  <c:v>0.51597803519999985</c:v>
                </c:pt>
                <c:pt idx="10">
                  <c:v>0.61917364223999982</c:v>
                </c:pt>
                <c:pt idx="11">
                  <c:v>0.74300837068799974</c:v>
                </c:pt>
                <c:pt idx="12">
                  <c:v>0.89161004482559969</c:v>
                </c:pt>
                <c:pt idx="13">
                  <c:v>1.0699320537907195</c:v>
                </c:pt>
                <c:pt idx="14">
                  <c:v>1.2839184645488635</c:v>
                </c:pt>
                <c:pt idx="15">
                  <c:v>1.5407021574586361</c:v>
                </c:pt>
                <c:pt idx="16">
                  <c:v>1.8488425889503632</c:v>
                </c:pt>
                <c:pt idx="17">
                  <c:v>2.2186111067404357</c:v>
                </c:pt>
                <c:pt idx="18">
                  <c:v>2.6623333280885229</c:v>
                </c:pt>
                <c:pt idx="19">
                  <c:v>3.1947999937062272</c:v>
                </c:pt>
                <c:pt idx="20">
                  <c:v>3.8337599924474723</c:v>
                </c:pt>
                <c:pt idx="21">
                  <c:v>4.6005119909369663</c:v>
                </c:pt>
                <c:pt idx="22">
                  <c:v>5.5206143891243595</c:v>
                </c:pt>
                <c:pt idx="23">
                  <c:v>6.6247372669492313</c:v>
                </c:pt>
                <c:pt idx="24">
                  <c:v>7.9496847203390768</c:v>
                </c:pt>
                <c:pt idx="25">
                  <c:v>9.5396216644068925</c:v>
                </c:pt>
                <c:pt idx="26">
                  <c:v>11.447545997288271</c:v>
                </c:pt>
                <c:pt idx="27">
                  <c:v>13.737055196745926</c:v>
                </c:pt>
                <c:pt idx="28">
                  <c:v>16.484466236095109</c:v>
                </c:pt>
                <c:pt idx="29">
                  <c:v>19.78135948331413</c:v>
                </c:pt>
                <c:pt idx="30">
                  <c:v>23.737631379976957</c:v>
                </c:pt>
                <c:pt idx="31">
                  <c:v>28.485157655972348</c:v>
                </c:pt>
                <c:pt idx="32">
                  <c:v>34.182189187166813</c:v>
                </c:pt>
                <c:pt idx="33">
                  <c:v>41.018627024600171</c:v>
                </c:pt>
                <c:pt idx="34">
                  <c:v>49.222352429520207</c:v>
                </c:pt>
                <c:pt idx="35">
                  <c:v>59.066822915424247</c:v>
                </c:pt>
                <c:pt idx="36">
                  <c:v>70.880187498509088</c:v>
                </c:pt>
                <c:pt idx="37">
                  <c:v>85.056224998210908</c:v>
                </c:pt>
                <c:pt idx="38">
                  <c:v>102.06746999785308</c:v>
                </c:pt>
                <c:pt idx="39">
                  <c:v>122.48096399742369</c:v>
                </c:pt>
                <c:pt idx="40">
                  <c:v>146.97715679690842</c:v>
                </c:pt>
                <c:pt idx="41">
                  <c:v>176.37258815629011</c:v>
                </c:pt>
                <c:pt idx="42">
                  <c:v>211.64710578754813</c:v>
                </c:pt>
                <c:pt idx="43">
                  <c:v>253.97652694505774</c:v>
                </c:pt>
                <c:pt idx="44">
                  <c:v>304.7718323340693</c:v>
                </c:pt>
                <c:pt idx="45">
                  <c:v>365.72619880088314</c:v>
                </c:pt>
                <c:pt idx="46">
                  <c:v>438.87143856105973</c:v>
                </c:pt>
                <c:pt idx="47">
                  <c:v>526.64572627327163</c:v>
                </c:pt>
                <c:pt idx="48">
                  <c:v>631.97487152792598</c:v>
                </c:pt>
                <c:pt idx="49">
                  <c:v>758.36984583351114</c:v>
                </c:pt>
              </c:numCache>
            </c:numRef>
          </c:xVal>
          <c:yVal>
            <c:numRef>
              <c:f>'サスペンションモデルの計算 (減衰付)'!$D$56:$D$105</c:f>
              <c:numCache>
                <c:formatCode>0.00_ </c:formatCode>
                <c:ptCount val="50"/>
                <c:pt idx="0">
                  <c:v>1.9882011082979406E-2</c:v>
                </c:pt>
                <c:pt idx="1">
                  <c:v>2.8721473383903517E-2</c:v>
                </c:pt>
                <c:pt idx="2">
                  <c:v>4.1549809558492731E-2</c:v>
                </c:pt>
                <c:pt idx="3">
                  <c:v>6.0231811066280165E-2</c:v>
                </c:pt>
                <c:pt idx="4">
                  <c:v>8.7576395904329224E-2</c:v>
                </c:pt>
                <c:pt idx="5">
                  <c:v>0.12789704279501174</c:v>
                </c:pt>
                <c:pt idx="6">
                  <c:v>0.18800130365033929</c:v>
                </c:pt>
                <c:pt idx="7">
                  <c:v>0.27905604818271462</c:v>
                </c:pt>
                <c:pt idx="8">
                  <c:v>0.42040582509897279</c:v>
                </c:pt>
                <c:pt idx="9">
                  <c:v>0.64825810516685678</c:v>
                </c:pt>
                <c:pt idx="10">
                  <c:v>1.0383932598122596</c:v>
                </c:pt>
                <c:pt idx="11">
                  <c:v>1.7783462690833076</c:v>
                </c:pt>
                <c:pt idx="12">
                  <c:v>3.4751155371734614</c:v>
                </c:pt>
                <c:pt idx="13">
                  <c:v>9.0745232598605892</c:v>
                </c:pt>
                <c:pt idx="14">
                  <c:v>12.729497444823595</c:v>
                </c:pt>
                <c:pt idx="15">
                  <c:v>6.8244062195040431</c:v>
                </c:pt>
                <c:pt idx="16">
                  <c:v>5.0177639256507724</c:v>
                </c:pt>
                <c:pt idx="17">
                  <c:v>4.3101150999212647</c:v>
                </c:pt>
                <c:pt idx="18">
                  <c:v>4.0282125172879013</c:v>
                </c:pt>
                <c:pt idx="19">
                  <c:v>3.9833005996604225</c:v>
                </c:pt>
                <c:pt idx="20">
                  <c:v>4.120666023812956</c:v>
                </c:pt>
                <c:pt idx="21">
                  <c:v>4.4439362411590375</c:v>
                </c:pt>
                <c:pt idx="22">
                  <c:v>5.0003324253932586</c:v>
                </c:pt>
                <c:pt idx="23">
                  <c:v>5.8891157164268808</c:v>
                </c:pt>
                <c:pt idx="24">
                  <c:v>7.2743924649061382</c:v>
                </c:pt>
                <c:pt idx="25">
                  <c:v>9.2819825251529728</c:v>
                </c:pt>
                <c:pt idx="26">
                  <c:v>11.188418615066462</c:v>
                </c:pt>
                <c:pt idx="27">
                  <c:v>10.703234570466897</c:v>
                </c:pt>
                <c:pt idx="28">
                  <c:v>8.371264842580759</c:v>
                </c:pt>
                <c:pt idx="29">
                  <c:v>6.3444919450123862</c:v>
                </c:pt>
                <c:pt idx="30">
                  <c:v>4.9747811183030999</c:v>
                </c:pt>
                <c:pt idx="31">
                  <c:v>4.0657964747917497</c:v>
                </c:pt>
                <c:pt idx="32">
                  <c:v>3.4486854747034155</c:v>
                </c:pt>
                <c:pt idx="33">
                  <c:v>3.0205712902070374</c:v>
                </c:pt>
                <c:pt idx="34">
                  <c:v>2.7195839297927358</c:v>
                </c:pt>
                <c:pt idx="35">
                  <c:v>2.5067170117652564</c:v>
                </c:pt>
                <c:pt idx="36">
                  <c:v>2.3560310286976751</c:v>
                </c:pt>
                <c:pt idx="37">
                  <c:v>2.2495548682234809</c:v>
                </c:pt>
                <c:pt idx="38">
                  <c:v>2.1745381487721631</c:v>
                </c:pt>
                <c:pt idx="39">
                  <c:v>2.1218487209163688</c:v>
                </c:pt>
                <c:pt idx="40">
                  <c:v>2.0849431566346173</c:v>
                </c:pt>
                <c:pt idx="41">
                  <c:v>2.0591513859056771</c:v>
                </c:pt>
                <c:pt idx="42">
                  <c:v>2.0411580492216785</c:v>
                </c:pt>
                <c:pt idx="43">
                  <c:v>2.0286216028087614</c:v>
                </c:pt>
                <c:pt idx="44">
                  <c:v>2.0198954638146858</c:v>
                </c:pt>
                <c:pt idx="45">
                  <c:v>2.0138257084651023</c:v>
                </c:pt>
                <c:pt idx="46">
                  <c:v>2.0096057542430508</c:v>
                </c:pt>
                <c:pt idx="47">
                  <c:v>2.006672874887371</c:v>
                </c:pt>
                <c:pt idx="48">
                  <c:v>2.0046350108996966</c:v>
                </c:pt>
                <c:pt idx="49">
                  <c:v>2.0032192746435111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'サスペンションモデルの計算 (減衰付)'!$E$55</c:f>
              <c:strCache>
                <c:ptCount val="1"/>
                <c:pt idx="0">
                  <c:v>サスばね1/2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none"/>
          </c:marker>
          <c:xVal>
            <c:numRef>
              <c:f>'サスペンションモデルの計算 (減衰付)'!$A$56:$A$105</c:f>
              <c:numCache>
                <c:formatCode>0.00_);[Red]\(0.00\)</c:formatCode>
                <c:ptCount val="50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0.17279999999999998</c:v>
                </c:pt>
                <c:pt idx="4">
                  <c:v>0.20735999999999996</c:v>
                </c:pt>
                <c:pt idx="5">
                  <c:v>0.24883199999999994</c:v>
                </c:pt>
                <c:pt idx="6">
                  <c:v>0.29859839999999993</c:v>
                </c:pt>
                <c:pt idx="7">
                  <c:v>0.35831807999999993</c:v>
                </c:pt>
                <c:pt idx="8">
                  <c:v>0.42998169599999991</c:v>
                </c:pt>
                <c:pt idx="9">
                  <c:v>0.51597803519999985</c:v>
                </c:pt>
                <c:pt idx="10">
                  <c:v>0.61917364223999982</c:v>
                </c:pt>
                <c:pt idx="11">
                  <c:v>0.74300837068799974</c:v>
                </c:pt>
                <c:pt idx="12">
                  <c:v>0.89161004482559969</c:v>
                </c:pt>
                <c:pt idx="13">
                  <c:v>1.0699320537907195</c:v>
                </c:pt>
                <c:pt idx="14">
                  <c:v>1.2839184645488635</c:v>
                </c:pt>
                <c:pt idx="15">
                  <c:v>1.5407021574586361</c:v>
                </c:pt>
                <c:pt idx="16">
                  <c:v>1.8488425889503632</c:v>
                </c:pt>
                <c:pt idx="17">
                  <c:v>2.2186111067404357</c:v>
                </c:pt>
                <c:pt idx="18">
                  <c:v>2.6623333280885229</c:v>
                </c:pt>
                <c:pt idx="19">
                  <c:v>3.1947999937062272</c:v>
                </c:pt>
                <c:pt idx="20">
                  <c:v>3.8337599924474723</c:v>
                </c:pt>
                <c:pt idx="21">
                  <c:v>4.6005119909369663</c:v>
                </c:pt>
                <c:pt idx="22">
                  <c:v>5.5206143891243595</c:v>
                </c:pt>
                <c:pt idx="23">
                  <c:v>6.6247372669492313</c:v>
                </c:pt>
                <c:pt idx="24">
                  <c:v>7.9496847203390768</c:v>
                </c:pt>
                <c:pt idx="25">
                  <c:v>9.5396216644068925</c:v>
                </c:pt>
                <c:pt idx="26">
                  <c:v>11.447545997288271</c:v>
                </c:pt>
                <c:pt idx="27">
                  <c:v>13.737055196745926</c:v>
                </c:pt>
                <c:pt idx="28">
                  <c:v>16.484466236095109</c:v>
                </c:pt>
                <c:pt idx="29">
                  <c:v>19.78135948331413</c:v>
                </c:pt>
                <c:pt idx="30">
                  <c:v>23.737631379976957</c:v>
                </c:pt>
                <c:pt idx="31">
                  <c:v>28.485157655972348</c:v>
                </c:pt>
                <c:pt idx="32">
                  <c:v>34.182189187166813</c:v>
                </c:pt>
                <c:pt idx="33">
                  <c:v>41.018627024600171</c:v>
                </c:pt>
                <c:pt idx="34">
                  <c:v>49.222352429520207</c:v>
                </c:pt>
                <c:pt idx="35">
                  <c:v>59.066822915424247</c:v>
                </c:pt>
                <c:pt idx="36">
                  <c:v>70.880187498509088</c:v>
                </c:pt>
                <c:pt idx="37">
                  <c:v>85.056224998210908</c:v>
                </c:pt>
                <c:pt idx="38">
                  <c:v>102.06746999785308</c:v>
                </c:pt>
                <c:pt idx="39">
                  <c:v>122.48096399742369</c:v>
                </c:pt>
                <c:pt idx="40">
                  <c:v>146.97715679690842</c:v>
                </c:pt>
                <c:pt idx="41">
                  <c:v>176.37258815629011</c:v>
                </c:pt>
                <c:pt idx="42">
                  <c:v>211.64710578754813</c:v>
                </c:pt>
                <c:pt idx="43">
                  <c:v>253.97652694505774</c:v>
                </c:pt>
                <c:pt idx="44">
                  <c:v>304.7718323340693</c:v>
                </c:pt>
                <c:pt idx="45">
                  <c:v>365.72619880088314</c:v>
                </c:pt>
                <c:pt idx="46">
                  <c:v>438.87143856105973</c:v>
                </c:pt>
                <c:pt idx="47">
                  <c:v>526.64572627327163</c:v>
                </c:pt>
                <c:pt idx="48">
                  <c:v>631.97487152792598</c:v>
                </c:pt>
                <c:pt idx="49">
                  <c:v>758.36984583351114</c:v>
                </c:pt>
              </c:numCache>
            </c:numRef>
          </c:xVal>
          <c:yVal>
            <c:numRef>
              <c:f>'サスペンションモデルの計算 (減衰付)'!$E$56:$E$105</c:f>
              <c:numCache>
                <c:formatCode>0.00_ </c:formatCode>
                <c:ptCount val="50"/>
                <c:pt idx="0">
                  <c:v>1.9988218079081226E-2</c:v>
                </c:pt>
                <c:pt idx="1">
                  <c:v>2.8943361737960013E-2</c:v>
                </c:pt>
                <c:pt idx="2">
                  <c:v>4.2014933520725765E-2</c:v>
                </c:pt>
                <c:pt idx="3">
                  <c:v>6.1211564373841162E-2</c:v>
                </c:pt>
                <c:pt idx="4">
                  <c:v>8.965491636785658E-2</c:v>
                </c:pt>
                <c:pt idx="5">
                  <c:v>0.13235295877424938</c:v>
                </c:pt>
                <c:pt idx="6">
                  <c:v>0.19770346247422063</c:v>
                </c:pt>
                <c:pt idx="7">
                  <c:v>0.30068080472447234</c:v>
                </c:pt>
                <c:pt idx="8">
                  <c:v>0.47035985662126362</c:v>
                </c:pt>
                <c:pt idx="9">
                  <c:v>0.77027675414269658</c:v>
                </c:pt>
                <c:pt idx="10">
                  <c:v>1.3634540379305822</c:v>
                </c:pt>
                <c:pt idx="11">
                  <c:v>2.7367369456940636</c:v>
                </c:pt>
                <c:pt idx="12">
                  <c:v>5.173820751303011</c:v>
                </c:pt>
                <c:pt idx="13">
                  <c:v>4.3135136096811788</c:v>
                </c:pt>
                <c:pt idx="14">
                  <c:v>3.1947514236346244</c:v>
                </c:pt>
                <c:pt idx="15">
                  <c:v>2.7104759657230622</c:v>
                </c:pt>
                <c:pt idx="16">
                  <c:v>2.5229705393057973</c:v>
                </c:pt>
                <c:pt idx="17">
                  <c:v>2.4993695496612891</c:v>
                </c:pt>
                <c:pt idx="18">
                  <c:v>2.5936088905457515</c:v>
                </c:pt>
                <c:pt idx="19">
                  <c:v>2.7947409689399172</c:v>
                </c:pt>
                <c:pt idx="20">
                  <c:v>3.1108862058150977</c:v>
                </c:pt>
                <c:pt idx="21">
                  <c:v>3.5661667741351422</c:v>
                </c:pt>
                <c:pt idx="22">
                  <c:v>4.2053781750131263</c:v>
                </c:pt>
                <c:pt idx="23">
                  <c:v>5.1082739083153212</c:v>
                </c:pt>
                <c:pt idx="24">
                  <c:v>6.4226275463353772</c:v>
                </c:pt>
                <c:pt idx="25">
                  <c:v>8.4391840371838125</c:v>
                </c:pt>
                <c:pt idx="26">
                  <c:v>11.737242315421881</c:v>
                </c:pt>
                <c:pt idx="27">
                  <c:v>17.001517789878474</c:v>
                </c:pt>
                <c:pt idx="28">
                  <c:v>20.643762005549956</c:v>
                </c:pt>
                <c:pt idx="29">
                  <c:v>16.200158244619065</c:v>
                </c:pt>
                <c:pt idx="30">
                  <c:v>11.226633922540262</c:v>
                </c:pt>
                <c:pt idx="31">
                  <c:v>8.1748270492148052</c:v>
                </c:pt>
                <c:pt idx="32">
                  <c:v>6.294823888147179</c:v>
                </c:pt>
                <c:pt idx="33">
                  <c:v>5.060042882332346</c:v>
                </c:pt>
                <c:pt idx="34">
                  <c:v>4.2066004722461043</c:v>
                </c:pt>
                <c:pt idx="35">
                  <c:v>3.5972887634772142</c:v>
                </c:pt>
                <c:pt idx="36">
                  <c:v>3.154681046716207</c:v>
                </c:pt>
                <c:pt idx="37">
                  <c:v>2.8311345297444723</c:v>
                </c:pt>
                <c:pt idx="38">
                  <c:v>2.5948687948215445</c:v>
                </c:pt>
                <c:pt idx="39">
                  <c:v>2.4232607668044959</c:v>
                </c:pt>
                <c:pt idx="40">
                  <c:v>2.2995235826754739</c:v>
                </c:pt>
                <c:pt idx="41">
                  <c:v>2.2109799271987076</c:v>
                </c:pt>
                <c:pt idx="42">
                  <c:v>2.1480579257012211</c:v>
                </c:pt>
                <c:pt idx="43">
                  <c:v>2.1036028822491417</c:v>
                </c:pt>
                <c:pt idx="44">
                  <c:v>2.0723394971123295</c:v>
                </c:pt>
                <c:pt idx="45">
                  <c:v>2.0504304553689714</c:v>
                </c:pt>
                <c:pt idx="46">
                  <c:v>2.0351168318957304</c:v>
                </c:pt>
                <c:pt idx="47">
                  <c:v>2.0244334483543152</c:v>
                </c:pt>
                <c:pt idx="48">
                  <c:v>2.0169904328677903</c:v>
                </c:pt>
                <c:pt idx="49">
                  <c:v>2.0118099594315955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79488"/>
        <c:axId val="209681408"/>
      </c:scatterChart>
      <c:valAx>
        <c:axId val="209679488"/>
        <c:scaling>
          <c:logBase val="10"/>
          <c:orientation val="minMax"/>
          <c:max val="100"/>
          <c:min val="0.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周波数</a:t>
                </a:r>
                <a:r>
                  <a:rPr lang="en-US" altLang="ja-JP"/>
                  <a:t>(</a:t>
                </a:r>
                <a:r>
                  <a:rPr lang="en-US" altLang="en-US"/>
                  <a:t>Hz)</a:t>
                </a:r>
              </a:p>
            </c:rich>
          </c:tx>
          <c:layout>
            <c:manualLayout>
              <c:xMode val="edge"/>
              <c:yMode val="edge"/>
              <c:x val="0.45757308982210559"/>
              <c:y val="0.887697482259162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681408"/>
        <c:crossesAt val="1E-3"/>
        <c:crossBetween val="midCat"/>
        <c:majorUnit val="10"/>
        <c:minorUnit val="10"/>
      </c:valAx>
      <c:valAx>
        <c:axId val="209681408"/>
        <c:scaling>
          <c:logBase val="10"/>
          <c:orientation val="minMax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車体に伝わる加速度(m/s^2)</a:t>
                </a:r>
              </a:p>
            </c:rich>
          </c:tx>
          <c:layout>
            <c:manualLayout>
              <c:xMode val="edge"/>
              <c:yMode val="edge"/>
              <c:x val="2.2601888305628464E-2"/>
              <c:y val="0.21927740513917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679488"/>
        <c:crossesAt val="0.1"/>
        <c:crossBetween val="midCat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3731973607465735"/>
          <c:y val="0.53850724215028678"/>
          <c:w val="0.27556339311752698"/>
          <c:h val="0.209877061663588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4269933995931"/>
          <c:y val="6.4356435643564358E-2"/>
          <c:w val="0.80595731289405903"/>
          <c:h val="0.7652349515221442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'サスペンションモデルの計算 (減衰付)'!$B$55</c:f>
              <c:strCache>
                <c:ptCount val="1"/>
                <c:pt idx="0">
                  <c:v>標準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'サスペンションモデルの計算 (減衰付)'!$A$56:$A$105</c:f>
              <c:numCache>
                <c:formatCode>0.00_);[Red]\(0.00\)</c:formatCode>
                <c:ptCount val="50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0.17279999999999998</c:v>
                </c:pt>
                <c:pt idx="4">
                  <c:v>0.20735999999999996</c:v>
                </c:pt>
                <c:pt idx="5">
                  <c:v>0.24883199999999994</c:v>
                </c:pt>
                <c:pt idx="6">
                  <c:v>0.29859839999999993</c:v>
                </c:pt>
                <c:pt idx="7">
                  <c:v>0.35831807999999993</c:v>
                </c:pt>
                <c:pt idx="8">
                  <c:v>0.42998169599999991</c:v>
                </c:pt>
                <c:pt idx="9">
                  <c:v>0.51597803519999985</c:v>
                </c:pt>
                <c:pt idx="10">
                  <c:v>0.61917364223999982</c:v>
                </c:pt>
                <c:pt idx="11">
                  <c:v>0.74300837068799974</c:v>
                </c:pt>
                <c:pt idx="12">
                  <c:v>0.89161004482559969</c:v>
                </c:pt>
                <c:pt idx="13">
                  <c:v>1.0699320537907195</c:v>
                </c:pt>
                <c:pt idx="14">
                  <c:v>1.2839184645488635</c:v>
                </c:pt>
                <c:pt idx="15">
                  <c:v>1.5407021574586361</c:v>
                </c:pt>
                <c:pt idx="16">
                  <c:v>1.8488425889503632</c:v>
                </c:pt>
                <c:pt idx="17">
                  <c:v>2.2186111067404357</c:v>
                </c:pt>
                <c:pt idx="18">
                  <c:v>2.6623333280885229</c:v>
                </c:pt>
                <c:pt idx="19">
                  <c:v>3.1947999937062272</c:v>
                </c:pt>
                <c:pt idx="20">
                  <c:v>3.8337599924474723</c:v>
                </c:pt>
                <c:pt idx="21">
                  <c:v>4.6005119909369663</c:v>
                </c:pt>
                <c:pt idx="22">
                  <c:v>5.5206143891243595</c:v>
                </c:pt>
                <c:pt idx="23">
                  <c:v>6.6247372669492313</c:v>
                </c:pt>
                <c:pt idx="24">
                  <c:v>7.9496847203390768</c:v>
                </c:pt>
                <c:pt idx="25">
                  <c:v>9.5396216644068925</c:v>
                </c:pt>
                <c:pt idx="26">
                  <c:v>11.447545997288271</c:v>
                </c:pt>
                <c:pt idx="27">
                  <c:v>13.737055196745926</c:v>
                </c:pt>
                <c:pt idx="28">
                  <c:v>16.484466236095109</c:v>
                </c:pt>
                <c:pt idx="29">
                  <c:v>19.78135948331413</c:v>
                </c:pt>
                <c:pt idx="30">
                  <c:v>23.737631379976957</c:v>
                </c:pt>
                <c:pt idx="31">
                  <c:v>28.485157655972348</c:v>
                </c:pt>
                <c:pt idx="32">
                  <c:v>34.182189187166813</c:v>
                </c:pt>
                <c:pt idx="33">
                  <c:v>41.018627024600171</c:v>
                </c:pt>
                <c:pt idx="34">
                  <c:v>49.222352429520207</c:v>
                </c:pt>
                <c:pt idx="35">
                  <c:v>59.066822915424247</c:v>
                </c:pt>
                <c:pt idx="36">
                  <c:v>70.880187498509088</c:v>
                </c:pt>
                <c:pt idx="37">
                  <c:v>85.056224998210908</c:v>
                </c:pt>
                <c:pt idx="38">
                  <c:v>102.06746999785308</c:v>
                </c:pt>
                <c:pt idx="39">
                  <c:v>122.48096399742369</c:v>
                </c:pt>
                <c:pt idx="40">
                  <c:v>146.97715679690842</c:v>
                </c:pt>
                <c:pt idx="41">
                  <c:v>176.37258815629011</c:v>
                </c:pt>
                <c:pt idx="42">
                  <c:v>211.64710578754813</c:v>
                </c:pt>
                <c:pt idx="43">
                  <c:v>253.97652694505774</c:v>
                </c:pt>
                <c:pt idx="44">
                  <c:v>304.7718323340693</c:v>
                </c:pt>
                <c:pt idx="45">
                  <c:v>365.72619880088314</c:v>
                </c:pt>
                <c:pt idx="46">
                  <c:v>438.87143856105973</c:v>
                </c:pt>
                <c:pt idx="47">
                  <c:v>526.64572627327163</c:v>
                </c:pt>
                <c:pt idx="48">
                  <c:v>631.97487152792598</c:v>
                </c:pt>
                <c:pt idx="49">
                  <c:v>758.36984583351114</c:v>
                </c:pt>
              </c:numCache>
            </c:numRef>
          </c:xVal>
          <c:yVal>
            <c:numRef>
              <c:f>'サスペンションモデルの計算 (減衰付)'!$B$56:$B$105</c:f>
              <c:numCache>
                <c:formatCode>0.00_ </c:formatCode>
                <c:ptCount val="50"/>
                <c:pt idx="0">
                  <c:v>1.9869374524908404E-2</c:v>
                </c:pt>
                <c:pt idx="1">
                  <c:v>2.8695114563805996E-2</c:v>
                </c:pt>
                <c:pt idx="2">
                  <c:v>4.1494682155561881E-2</c:v>
                </c:pt>
                <c:pt idx="3">
                  <c:v>6.0116074442825483E-2</c:v>
                </c:pt>
                <c:pt idx="4">
                  <c:v>8.7332055145561499E-2</c:v>
                </c:pt>
                <c:pt idx="5">
                  <c:v>0.1273769631839049</c:v>
                </c:pt>
                <c:pt idx="6">
                  <c:v>0.18688087255294689</c:v>
                </c:pt>
                <c:pt idx="7">
                  <c:v>0.27659832883523511</c:v>
                </c:pt>
                <c:pt idx="8">
                  <c:v>0.41486485951112867</c:v>
                </c:pt>
                <c:pt idx="9">
                  <c:v>0.63522002298710012</c:v>
                </c:pt>
                <c:pt idx="10">
                  <c:v>1.0055087865671668</c:v>
                </c:pt>
                <c:pt idx="11">
                  <c:v>1.6848544596479749</c:v>
                </c:pt>
                <c:pt idx="12">
                  <c:v>3.1421376308233318</c:v>
                </c:pt>
                <c:pt idx="13">
                  <c:v>7.3189019203993952</c:v>
                </c:pt>
                <c:pt idx="14">
                  <c:v>14.511812190529517</c:v>
                </c:pt>
                <c:pt idx="15">
                  <c:v>8.1617611175319276</c:v>
                </c:pt>
                <c:pt idx="16">
                  <c:v>5.7356351004680626</c:v>
                </c:pt>
                <c:pt idx="17">
                  <c:v>4.8033936625898415</c:v>
                </c:pt>
                <c:pt idx="18">
                  <c:v>4.4139553195349857</c:v>
                </c:pt>
                <c:pt idx="19">
                  <c:v>4.3033613853805912</c:v>
                </c:pt>
                <c:pt idx="20">
                  <c:v>4.3873496968861714</c:v>
                </c:pt>
                <c:pt idx="21">
                  <c:v>4.6500689823776273</c:v>
                </c:pt>
                <c:pt idx="22">
                  <c:v>5.116665244707681</c:v>
                </c:pt>
                <c:pt idx="23">
                  <c:v>5.8546966453046307</c:v>
                </c:pt>
                <c:pt idx="24">
                  <c:v>6.9993477957992569</c:v>
                </c:pt>
                <c:pt idx="25">
                  <c:v>8.820516139198606</c:v>
                </c:pt>
                <c:pt idx="26">
                  <c:v>11.867260763806929</c:v>
                </c:pt>
                <c:pt idx="27">
                  <c:v>16.942535026632971</c:v>
                </c:pt>
                <c:pt idx="28">
                  <c:v>21.411388821023774</c:v>
                </c:pt>
                <c:pt idx="29">
                  <c:v>17.291311436549659</c:v>
                </c:pt>
                <c:pt idx="30">
                  <c:v>11.79936798377063</c:v>
                </c:pt>
                <c:pt idx="31">
                  <c:v>8.4537926522883104</c:v>
                </c:pt>
                <c:pt idx="32">
                  <c:v>6.4380262980773715</c:v>
                </c:pt>
                <c:pt idx="33">
                  <c:v>5.1375750393366877</c:v>
                </c:pt>
                <c:pt idx="34">
                  <c:v>4.2504137303991678</c:v>
                </c:pt>
                <c:pt idx="35">
                  <c:v>3.6229267400399809</c:v>
                </c:pt>
                <c:pt idx="36">
                  <c:v>3.1701370811214846</c:v>
                </c:pt>
                <c:pt idx="37">
                  <c:v>2.8407000583796953</c:v>
                </c:pt>
                <c:pt idx="38">
                  <c:v>2.6009279236877791</c:v>
                </c:pt>
                <c:pt idx="39">
                  <c:v>2.42717717076088</c:v>
                </c:pt>
                <c:pt idx="40">
                  <c:v>2.3020984976346974</c:v>
                </c:pt>
                <c:pt idx="41">
                  <c:v>2.2126964706780745</c:v>
                </c:pt>
                <c:pt idx="42">
                  <c:v>2.1492147661522969</c:v>
                </c:pt>
                <c:pt idx="43">
                  <c:v>2.1043890148566007</c:v>
                </c:pt>
                <c:pt idx="44">
                  <c:v>2.0728770231059266</c:v>
                </c:pt>
                <c:pt idx="45">
                  <c:v>2.0507996546152034</c:v>
                </c:pt>
                <c:pt idx="46">
                  <c:v>2.0353712402313193</c:v>
                </c:pt>
                <c:pt idx="47">
                  <c:v>2.0246091621049493</c:v>
                </c:pt>
                <c:pt idx="48">
                  <c:v>2.0171119926613321</c:v>
                </c:pt>
                <c:pt idx="49">
                  <c:v>2.011894151917875</c:v>
                </c:pt>
              </c:numCache>
            </c:numRef>
          </c:yVal>
          <c:smooth val="1"/>
        </c:ser>
        <c:ser>
          <c:idx val="4"/>
          <c:order val="1"/>
          <c:tx>
            <c:strRef>
              <c:f>'サスペンションモデルの計算 (減衰付)'!$F$55</c:f>
              <c:strCache>
                <c:ptCount val="1"/>
                <c:pt idx="0">
                  <c:v>ホイール質量1/2倍</c:v>
                </c:pt>
              </c:strCache>
            </c:strRef>
          </c:tx>
          <c:marker>
            <c:symbol val="none"/>
          </c:marker>
          <c:xVal>
            <c:numRef>
              <c:f>'サスペンションモデルの計算 (減衰付)'!$A$56:$A$105</c:f>
              <c:numCache>
                <c:formatCode>0.00_);[Red]\(0.00\)</c:formatCode>
                <c:ptCount val="50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0.17279999999999998</c:v>
                </c:pt>
                <c:pt idx="4">
                  <c:v>0.20735999999999996</c:v>
                </c:pt>
                <c:pt idx="5">
                  <c:v>0.24883199999999994</c:v>
                </c:pt>
                <c:pt idx="6">
                  <c:v>0.29859839999999993</c:v>
                </c:pt>
                <c:pt idx="7">
                  <c:v>0.35831807999999993</c:v>
                </c:pt>
                <c:pt idx="8">
                  <c:v>0.42998169599999991</c:v>
                </c:pt>
                <c:pt idx="9">
                  <c:v>0.51597803519999985</c:v>
                </c:pt>
                <c:pt idx="10">
                  <c:v>0.61917364223999982</c:v>
                </c:pt>
                <c:pt idx="11">
                  <c:v>0.74300837068799974</c:v>
                </c:pt>
                <c:pt idx="12">
                  <c:v>0.89161004482559969</c:v>
                </c:pt>
                <c:pt idx="13">
                  <c:v>1.0699320537907195</c:v>
                </c:pt>
                <c:pt idx="14">
                  <c:v>1.2839184645488635</c:v>
                </c:pt>
                <c:pt idx="15">
                  <c:v>1.5407021574586361</c:v>
                </c:pt>
                <c:pt idx="16">
                  <c:v>1.8488425889503632</c:v>
                </c:pt>
                <c:pt idx="17">
                  <c:v>2.2186111067404357</c:v>
                </c:pt>
                <c:pt idx="18">
                  <c:v>2.6623333280885229</c:v>
                </c:pt>
                <c:pt idx="19">
                  <c:v>3.1947999937062272</c:v>
                </c:pt>
                <c:pt idx="20">
                  <c:v>3.8337599924474723</c:v>
                </c:pt>
                <c:pt idx="21">
                  <c:v>4.6005119909369663</c:v>
                </c:pt>
                <c:pt idx="22">
                  <c:v>5.5206143891243595</c:v>
                </c:pt>
                <c:pt idx="23">
                  <c:v>6.6247372669492313</c:v>
                </c:pt>
                <c:pt idx="24">
                  <c:v>7.9496847203390768</c:v>
                </c:pt>
                <c:pt idx="25">
                  <c:v>9.5396216644068925</c:v>
                </c:pt>
                <c:pt idx="26">
                  <c:v>11.447545997288271</c:v>
                </c:pt>
                <c:pt idx="27">
                  <c:v>13.737055196745926</c:v>
                </c:pt>
                <c:pt idx="28">
                  <c:v>16.484466236095109</c:v>
                </c:pt>
                <c:pt idx="29">
                  <c:v>19.78135948331413</c:v>
                </c:pt>
                <c:pt idx="30">
                  <c:v>23.737631379976957</c:v>
                </c:pt>
                <c:pt idx="31">
                  <c:v>28.485157655972348</c:v>
                </c:pt>
                <c:pt idx="32">
                  <c:v>34.182189187166813</c:v>
                </c:pt>
                <c:pt idx="33">
                  <c:v>41.018627024600171</c:v>
                </c:pt>
                <c:pt idx="34">
                  <c:v>49.222352429520207</c:v>
                </c:pt>
                <c:pt idx="35">
                  <c:v>59.066822915424247</c:v>
                </c:pt>
                <c:pt idx="36">
                  <c:v>70.880187498509088</c:v>
                </c:pt>
                <c:pt idx="37">
                  <c:v>85.056224998210908</c:v>
                </c:pt>
                <c:pt idx="38">
                  <c:v>102.06746999785308</c:v>
                </c:pt>
                <c:pt idx="39">
                  <c:v>122.48096399742369</c:v>
                </c:pt>
                <c:pt idx="40">
                  <c:v>146.97715679690842</c:v>
                </c:pt>
                <c:pt idx="41">
                  <c:v>176.37258815629011</c:v>
                </c:pt>
                <c:pt idx="42">
                  <c:v>211.64710578754813</c:v>
                </c:pt>
                <c:pt idx="43">
                  <c:v>253.97652694505774</c:v>
                </c:pt>
                <c:pt idx="44">
                  <c:v>304.7718323340693</c:v>
                </c:pt>
                <c:pt idx="45">
                  <c:v>365.72619880088314</c:v>
                </c:pt>
                <c:pt idx="46">
                  <c:v>438.87143856105973</c:v>
                </c:pt>
                <c:pt idx="47">
                  <c:v>526.64572627327163</c:v>
                </c:pt>
                <c:pt idx="48">
                  <c:v>631.97487152792598</c:v>
                </c:pt>
                <c:pt idx="49">
                  <c:v>758.36984583351114</c:v>
                </c:pt>
              </c:numCache>
            </c:numRef>
          </c:xVal>
          <c:yVal>
            <c:numRef>
              <c:f>'サスペンションモデルの計算 (減衰付)'!$F$56:$F$105</c:f>
              <c:numCache>
                <c:formatCode>0.00_ </c:formatCode>
                <c:ptCount val="50"/>
                <c:pt idx="0">
                  <c:v>1.9881225210295971E-2</c:v>
                </c:pt>
                <c:pt idx="1">
                  <c:v>2.8719837707470521E-2</c:v>
                </c:pt>
                <c:pt idx="2">
                  <c:v>4.154639947629922E-2</c:v>
                </c:pt>
                <c:pt idx="3">
                  <c:v>6.0224684463407022E-2</c:v>
                </c:pt>
                <c:pt idx="4">
                  <c:v>8.7561449586055662E-2</c:v>
                </c:pt>
                <c:pt idx="5">
                  <c:v>0.1278655333540738</c:v>
                </c:pt>
                <c:pt idx="6">
                  <c:v>0.18793436254402529</c:v>
                </c:pt>
                <c:pt idx="7">
                  <c:v>0.27891217522262501</c:v>
                </c:pt>
                <c:pt idx="8">
                  <c:v>0.42009105017708864</c:v>
                </c:pt>
                <c:pt idx="9">
                  <c:v>0.64754968465891638</c:v>
                </c:pt>
                <c:pt idx="10">
                  <c:v>1.0367219853483911</c:v>
                </c:pt>
                <c:pt idx="11">
                  <c:v>1.7740526470043509</c:v>
                </c:pt>
                <c:pt idx="12">
                  <c:v>3.4619636537723504</c:v>
                </c:pt>
                <c:pt idx="13">
                  <c:v>9.0152460200037297</c:v>
                </c:pt>
                <c:pt idx="14">
                  <c:v>12.678982979109749</c:v>
                </c:pt>
                <c:pt idx="15">
                  <c:v>6.7828443310264923</c:v>
                </c:pt>
                <c:pt idx="16">
                  <c:v>4.9681234220469008</c:v>
                </c:pt>
                <c:pt idx="17">
                  <c:v>4.245266711111614</c:v>
                </c:pt>
                <c:pt idx="18">
                  <c:v>3.9383689133217992</c:v>
                </c:pt>
                <c:pt idx="19">
                  <c:v>3.8531564427513274</c:v>
                </c:pt>
                <c:pt idx="20">
                  <c:v>3.9247369507753929</c:v>
                </c:pt>
                <c:pt idx="21">
                  <c:v>4.1378974278610263</c:v>
                </c:pt>
                <c:pt idx="22">
                  <c:v>4.5043745602416099</c:v>
                </c:pt>
                <c:pt idx="23">
                  <c:v>5.056909236054393</c:v>
                </c:pt>
                <c:pt idx="24">
                  <c:v>5.8491582825930184</c:v>
                </c:pt>
                <c:pt idx="25">
                  <c:v>6.9517823785683097</c:v>
                </c:pt>
                <c:pt idx="26">
                  <c:v>8.4128937185350683</c:v>
                </c:pt>
                <c:pt idx="27">
                  <c:v>10.086337493915192</c:v>
                </c:pt>
                <c:pt idx="28">
                  <c:v>11.287204141016861</c:v>
                </c:pt>
                <c:pt idx="29">
                  <c:v>11.109960013772039</c:v>
                </c:pt>
                <c:pt idx="30">
                  <c:v>9.8048816470046738</c:v>
                </c:pt>
                <c:pt idx="31">
                  <c:v>8.3157001234061632</c:v>
                </c:pt>
                <c:pt idx="32">
                  <c:v>7.0950373531983342</c:v>
                </c:pt>
                <c:pt idx="33">
                  <c:v>6.19192232460456</c:v>
                </c:pt>
                <c:pt idx="34">
                  <c:v>5.5445465601411694</c:v>
                </c:pt>
                <c:pt idx="35">
                  <c:v>5.0851828758438202</c:v>
                </c:pt>
                <c:pt idx="36">
                  <c:v>4.7606485267704199</c:v>
                </c:pt>
                <c:pt idx="37">
                  <c:v>4.5320752210275721</c:v>
                </c:pt>
                <c:pt idx="38">
                  <c:v>4.3715366131086082</c:v>
                </c:pt>
                <c:pt idx="39">
                  <c:v>4.2590668285776809</c:v>
                </c:pt>
                <c:pt idx="40">
                  <c:v>4.1804429699774355</c:v>
                </c:pt>
                <c:pt idx="41">
                  <c:v>4.1255753882629422</c:v>
                </c:pt>
                <c:pt idx="42">
                  <c:v>4.087337626713933</c:v>
                </c:pt>
                <c:pt idx="43">
                  <c:v>4.0607161930053426</c:v>
                </c:pt>
                <c:pt idx="44">
                  <c:v>4.042195800428483</c:v>
                </c:pt>
                <c:pt idx="45">
                  <c:v>4.0293181004485366</c:v>
                </c:pt>
                <c:pt idx="46">
                  <c:v>4.0203672944718001</c:v>
                </c:pt>
                <c:pt idx="47">
                  <c:v>4.014147588214791</c:v>
                </c:pt>
                <c:pt idx="48">
                  <c:v>4.009826471672489</c:v>
                </c:pt>
                <c:pt idx="49">
                  <c:v>4.0068247880552903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'サスペンションモデルの計算 (減衰付)'!$G$55</c:f>
              <c:strCache>
                <c:ptCount val="1"/>
                <c:pt idx="0">
                  <c:v>ホイール質量2倍</c:v>
                </c:pt>
              </c:strCache>
            </c:strRef>
          </c:tx>
          <c:marker>
            <c:symbol val="none"/>
          </c:marker>
          <c:xVal>
            <c:numRef>
              <c:f>'サスペンションモデルの計算 (減衰付)'!$A$56:$A$105</c:f>
              <c:numCache>
                <c:formatCode>0.00_);[Red]\(0.00\)</c:formatCode>
                <c:ptCount val="50"/>
                <c:pt idx="0">
                  <c:v>0.1</c:v>
                </c:pt>
                <c:pt idx="1">
                  <c:v>0.12</c:v>
                </c:pt>
                <c:pt idx="2">
                  <c:v>0.14399999999999999</c:v>
                </c:pt>
                <c:pt idx="3">
                  <c:v>0.17279999999999998</c:v>
                </c:pt>
                <c:pt idx="4">
                  <c:v>0.20735999999999996</c:v>
                </c:pt>
                <c:pt idx="5">
                  <c:v>0.24883199999999994</c:v>
                </c:pt>
                <c:pt idx="6">
                  <c:v>0.29859839999999993</c:v>
                </c:pt>
                <c:pt idx="7">
                  <c:v>0.35831807999999993</c:v>
                </c:pt>
                <c:pt idx="8">
                  <c:v>0.42998169599999991</c:v>
                </c:pt>
                <c:pt idx="9">
                  <c:v>0.51597803519999985</c:v>
                </c:pt>
                <c:pt idx="10">
                  <c:v>0.61917364223999982</c:v>
                </c:pt>
                <c:pt idx="11">
                  <c:v>0.74300837068799974</c:v>
                </c:pt>
                <c:pt idx="12">
                  <c:v>0.89161004482559969</c:v>
                </c:pt>
                <c:pt idx="13">
                  <c:v>1.0699320537907195</c:v>
                </c:pt>
                <c:pt idx="14">
                  <c:v>1.2839184645488635</c:v>
                </c:pt>
                <c:pt idx="15">
                  <c:v>1.5407021574586361</c:v>
                </c:pt>
                <c:pt idx="16">
                  <c:v>1.8488425889503632</c:v>
                </c:pt>
                <c:pt idx="17">
                  <c:v>2.2186111067404357</c:v>
                </c:pt>
                <c:pt idx="18">
                  <c:v>2.6623333280885229</c:v>
                </c:pt>
                <c:pt idx="19">
                  <c:v>3.1947999937062272</c:v>
                </c:pt>
                <c:pt idx="20">
                  <c:v>3.8337599924474723</c:v>
                </c:pt>
                <c:pt idx="21">
                  <c:v>4.6005119909369663</c:v>
                </c:pt>
                <c:pt idx="22">
                  <c:v>5.5206143891243595</c:v>
                </c:pt>
                <c:pt idx="23">
                  <c:v>6.6247372669492313</c:v>
                </c:pt>
                <c:pt idx="24">
                  <c:v>7.9496847203390768</c:v>
                </c:pt>
                <c:pt idx="25">
                  <c:v>9.5396216644068925</c:v>
                </c:pt>
                <c:pt idx="26">
                  <c:v>11.447545997288271</c:v>
                </c:pt>
                <c:pt idx="27">
                  <c:v>13.737055196745926</c:v>
                </c:pt>
                <c:pt idx="28">
                  <c:v>16.484466236095109</c:v>
                </c:pt>
                <c:pt idx="29">
                  <c:v>19.78135948331413</c:v>
                </c:pt>
                <c:pt idx="30">
                  <c:v>23.737631379976957</c:v>
                </c:pt>
                <c:pt idx="31">
                  <c:v>28.485157655972348</c:v>
                </c:pt>
                <c:pt idx="32">
                  <c:v>34.182189187166813</c:v>
                </c:pt>
                <c:pt idx="33">
                  <c:v>41.018627024600171</c:v>
                </c:pt>
                <c:pt idx="34">
                  <c:v>49.222352429520207</c:v>
                </c:pt>
                <c:pt idx="35">
                  <c:v>59.066822915424247</c:v>
                </c:pt>
                <c:pt idx="36">
                  <c:v>70.880187498509088</c:v>
                </c:pt>
                <c:pt idx="37">
                  <c:v>85.056224998210908</c:v>
                </c:pt>
                <c:pt idx="38">
                  <c:v>102.06746999785308</c:v>
                </c:pt>
                <c:pt idx="39">
                  <c:v>122.48096399742369</c:v>
                </c:pt>
                <c:pt idx="40">
                  <c:v>146.97715679690842</c:v>
                </c:pt>
                <c:pt idx="41">
                  <c:v>176.37258815629011</c:v>
                </c:pt>
                <c:pt idx="42">
                  <c:v>211.64710578754813</c:v>
                </c:pt>
                <c:pt idx="43">
                  <c:v>253.97652694505774</c:v>
                </c:pt>
                <c:pt idx="44">
                  <c:v>304.7718323340693</c:v>
                </c:pt>
                <c:pt idx="45">
                  <c:v>365.72619880088314</c:v>
                </c:pt>
                <c:pt idx="46">
                  <c:v>438.87143856105973</c:v>
                </c:pt>
                <c:pt idx="47">
                  <c:v>526.64572627327163</c:v>
                </c:pt>
                <c:pt idx="48">
                  <c:v>631.97487152792598</c:v>
                </c:pt>
                <c:pt idx="49">
                  <c:v>758.36984583351114</c:v>
                </c:pt>
              </c:numCache>
            </c:numRef>
          </c:xVal>
          <c:yVal>
            <c:numRef>
              <c:f>'サスペンションモデルの計算 (減衰付)'!$G$56:$G$105</c:f>
              <c:numCache>
                <c:formatCode>0.00_ </c:formatCode>
                <c:ptCount val="50"/>
                <c:pt idx="0">
                  <c:v>1.9883583014746083E-2</c:v>
                </c:pt>
                <c:pt idx="1">
                  <c:v>2.87247452957692E-2</c:v>
                </c:pt>
                <c:pt idx="2">
                  <c:v>4.1556631402518904E-2</c:v>
                </c:pt>
                <c:pt idx="3">
                  <c:v>6.0246069333074921E-2</c:v>
                </c:pt>
                <c:pt idx="4">
                  <c:v>8.7606303853481032E-2</c:v>
                </c:pt>
                <c:pt idx="5">
                  <c:v>0.1279601082874742</c:v>
                </c:pt>
                <c:pt idx="6">
                  <c:v>0.18813532902493638</c:v>
                </c:pt>
                <c:pt idx="7">
                  <c:v>0.27934423983279072</c:v>
                </c:pt>
                <c:pt idx="8">
                  <c:v>0.42103679214345047</c:v>
                </c:pt>
                <c:pt idx="9">
                  <c:v>0.64967960598726171</c:v>
                </c:pt>
                <c:pt idx="10">
                  <c:v>1.0417520235077975</c:v>
                </c:pt>
                <c:pt idx="11">
                  <c:v>1.7869961414919195</c:v>
                </c:pt>
                <c:pt idx="12">
                  <c:v>3.501720890103277</c:v>
                </c:pt>
                <c:pt idx="13">
                  <c:v>9.1953781883516612</c:v>
                </c:pt>
                <c:pt idx="14">
                  <c:v>12.830949649370922</c:v>
                </c:pt>
                <c:pt idx="15">
                  <c:v>6.90896747149832</c:v>
                </c:pt>
                <c:pt idx="16">
                  <c:v>5.1200009021939064</c:v>
                </c:pt>
                <c:pt idx="17">
                  <c:v>4.4458168519607213</c:v>
                </c:pt>
                <c:pt idx="18">
                  <c:v>4.2205029519811514</c:v>
                </c:pt>
                <c:pt idx="19">
                  <c:v>4.2710865527465049</c:v>
                </c:pt>
                <c:pt idx="20">
                  <c:v>4.5751035106374838</c:v>
                </c:pt>
                <c:pt idx="21">
                  <c:v>5.2050480269188997</c:v>
                </c:pt>
                <c:pt idx="22">
                  <c:v>6.3617987521714179</c:v>
                </c:pt>
                <c:pt idx="23">
                  <c:v>8.4505037441875146</c:v>
                </c:pt>
                <c:pt idx="24">
                  <c:v>11.406990332957633</c:v>
                </c:pt>
                <c:pt idx="25">
                  <c:v>10.878153771844293</c:v>
                </c:pt>
                <c:pt idx="26">
                  <c:v>7.3086273133156867</c:v>
                </c:pt>
                <c:pt idx="27">
                  <c:v>4.9578752762496396</c:v>
                </c:pt>
                <c:pt idx="28">
                  <c:v>3.6203922757495257</c:v>
                </c:pt>
                <c:pt idx="29">
                  <c:v>2.8051971144917225</c:v>
                </c:pt>
                <c:pt idx="30">
                  <c:v>2.2725857116155233</c:v>
                </c:pt>
                <c:pt idx="31">
                  <c:v>1.9073634629185343</c:v>
                </c:pt>
                <c:pt idx="32">
                  <c:v>1.649418849493548</c:v>
                </c:pt>
                <c:pt idx="33">
                  <c:v>1.4644236179848453</c:v>
                </c:pt>
                <c:pt idx="34">
                  <c:v>1.3310233295762808</c:v>
                </c:pt>
                <c:pt idx="35">
                  <c:v>1.2349115927886374</c:v>
                </c:pt>
                <c:pt idx="36">
                  <c:v>1.1659632365311714</c:v>
                </c:pt>
                <c:pt idx="37">
                  <c:v>1.116781353893469</c:v>
                </c:pt>
                <c:pt idx="38">
                  <c:v>1.0818994858932169</c:v>
                </c:pt>
                <c:pt idx="39">
                  <c:v>1.0572850071478421</c:v>
                </c:pt>
                <c:pt idx="40">
                  <c:v>1.0399878443145316</c:v>
                </c:pt>
                <c:pt idx="41">
                  <c:v>1.027872050201978</c:v>
                </c:pt>
                <c:pt idx="42">
                  <c:v>1.0194062018096675</c:v>
                </c:pt>
                <c:pt idx="43">
                  <c:v>1.0135013081174826</c:v>
                </c:pt>
                <c:pt idx="44">
                  <c:v>1.0093879852546122</c:v>
                </c:pt>
                <c:pt idx="45">
                  <c:v>1.0065253014697553</c:v>
                </c:pt>
                <c:pt idx="46">
                  <c:v>1.0045343034665664</c:v>
                </c:pt>
                <c:pt idx="47">
                  <c:v>1.003150198360101</c:v>
                </c:pt>
                <c:pt idx="48">
                  <c:v>1.0021883032334131</c:v>
                </c:pt>
                <c:pt idx="49">
                  <c:v>1.0015199765117575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56160"/>
        <c:axId val="209758080"/>
      </c:scatterChart>
      <c:valAx>
        <c:axId val="209756160"/>
        <c:scaling>
          <c:logBase val="10"/>
          <c:orientation val="minMax"/>
          <c:max val="100"/>
          <c:min val="0.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周波数</a:t>
                </a:r>
                <a:r>
                  <a:rPr lang="en-US" altLang="ja-JP"/>
                  <a:t>(</a:t>
                </a:r>
                <a:r>
                  <a:rPr lang="en-US" altLang="en-US"/>
                  <a:t>Hz)</a:t>
                </a:r>
              </a:p>
            </c:rich>
          </c:tx>
          <c:layout>
            <c:manualLayout>
              <c:xMode val="edge"/>
              <c:yMode val="edge"/>
              <c:x val="0.45757302001028038"/>
              <c:y val="0.887697482259162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758080"/>
        <c:crossesAt val="1E-3"/>
        <c:crossBetween val="midCat"/>
        <c:majorUnit val="10"/>
        <c:minorUnit val="10"/>
      </c:valAx>
      <c:valAx>
        <c:axId val="209758080"/>
        <c:scaling>
          <c:logBase val="10"/>
          <c:orientation val="minMax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車体に伝わる衝撃(m/s^2)</a:t>
                </a:r>
              </a:p>
            </c:rich>
          </c:tx>
          <c:layout>
            <c:manualLayout>
              <c:xMode val="edge"/>
              <c:yMode val="edge"/>
              <c:x val="2.2601836815458728E-2"/>
              <c:y val="0.21927740513917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756160"/>
        <c:crossesAt val="0.1"/>
        <c:crossBetween val="midCat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5811687750469665"/>
          <c:y val="0.54732639901493796"/>
          <c:w val="0.26086655112651647"/>
          <c:h val="0.158014581510644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0-100km/h 10sec加速における馬力損失</a:t>
            </a:r>
          </a:p>
        </c:rich>
      </c:tx>
      <c:layout>
        <c:manualLayout>
          <c:xMode val="edge"/>
          <c:yMode val="edge"/>
          <c:x val="0.20045090815976163"/>
          <c:y val="3.36391437308868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9012328028945"/>
          <c:y val="0.14067320298524399"/>
          <c:w val="0.7860377648986594"/>
          <c:h val="0.64831997897547233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足回りに関する各種計算!$B$122:$B$124</c:f>
              <c:numCache>
                <c:formatCode>General</c:formatCode>
                <c:ptCount val="3"/>
                <c:pt idx="0">
                  <c:v>0</c:v>
                </c:pt>
                <c:pt idx="1">
                  <c:v>200</c:v>
                </c:pt>
                <c:pt idx="2">
                  <c:v>400</c:v>
                </c:pt>
              </c:numCache>
            </c:numRef>
          </c:xVal>
          <c:yVal>
            <c:numRef>
              <c:f>足回りに関する各種計算!$C$122:$C$124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69056"/>
        <c:axId val="209891712"/>
      </c:scatterChart>
      <c:valAx>
        <c:axId val="209869056"/>
        <c:scaling>
          <c:orientation val="minMax"/>
          <c:max val="3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車重増分値(kg)</a:t>
                </a:r>
              </a:p>
            </c:rich>
          </c:tx>
          <c:layout>
            <c:manualLayout>
              <c:xMode val="edge"/>
              <c:yMode val="edge"/>
              <c:x val="0.42792883705501333"/>
              <c:y val="0.88685272139147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891712"/>
        <c:crosses val="autoZero"/>
        <c:crossBetween val="midCat"/>
      </c:valAx>
      <c:valAx>
        <c:axId val="20989171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馬力損失(ps)</a:t>
                </a:r>
              </a:p>
            </c:rich>
          </c:tx>
          <c:layout>
            <c:manualLayout>
              <c:xMode val="edge"/>
              <c:yMode val="edge"/>
              <c:x val="3.3783892312795709E-2"/>
              <c:y val="0.330276192540152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986905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47699392869549"/>
          <c:y val="8.5245901639344257E-2"/>
          <c:w val="0.72483379831209438"/>
          <c:h val="0.68852459016393441"/>
        </c:manualLayout>
      </c:layout>
      <c:scatterChart>
        <c:scatterStyle val="smooth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exp"/>
            <c:forward val="10"/>
            <c:backward val="10"/>
            <c:dispRSqr val="0"/>
            <c:dispEq val="1"/>
            <c:trendlineLbl>
              <c:layout>
                <c:manualLayout>
                  <c:x val="-4.1133482475764357E-2"/>
                  <c:y val="2.8583623768340432E-2"/>
                </c:manualLayout>
              </c:layout>
              <c:numFmt formatCode="0.0000E+00" sourceLinked="0"/>
            </c:trendlineLbl>
          </c:trendline>
          <c:xVal>
            <c:numRef>
              <c:f>足回りに関する各種計算!$B$197:$B$199</c:f>
              <c:numCache>
                <c:formatCode>General</c:formatCode>
                <c:ptCount val="3"/>
                <c:pt idx="0">
                  <c:v>65</c:v>
                </c:pt>
                <c:pt idx="1">
                  <c:v>50</c:v>
                </c:pt>
                <c:pt idx="2">
                  <c:v>55</c:v>
                </c:pt>
              </c:numCache>
            </c:numRef>
          </c:xVal>
          <c:yVal>
            <c:numRef>
              <c:f>足回りに関する各種計算!$C$197:$C$199</c:f>
              <c:numCache>
                <c:formatCode>0.00E+00</c:formatCode>
                <c:ptCount val="3"/>
                <c:pt idx="0">
                  <c:v>209294.57364341101</c:v>
                </c:pt>
                <c:pt idx="1">
                  <c:v>366474.41860465182</c:v>
                </c:pt>
                <c:pt idx="2">
                  <c:v>298754.04255319113</c:v>
                </c:pt>
              </c:numCache>
            </c:numRef>
          </c:yVal>
          <c:smooth val="1"/>
        </c:ser>
        <c:ser>
          <c:idx val="1"/>
          <c:order val="1"/>
          <c:tx>
            <c:v>空気圧高め</c:v>
          </c:tx>
          <c:spPr>
            <a:ln w="28575">
              <a:noFill/>
            </a:ln>
          </c:spPr>
          <c:xVal>
            <c:numRef>
              <c:f>足回りに関する各種計算!$B$202</c:f>
              <c:numCache>
                <c:formatCode>General</c:formatCode>
                <c:ptCount val="1"/>
                <c:pt idx="0">
                  <c:v>55</c:v>
                </c:pt>
              </c:numCache>
            </c:numRef>
          </c:xVal>
          <c:yVal>
            <c:numRef>
              <c:f>足回りに関する各種計算!$C$202</c:f>
              <c:numCache>
                <c:formatCode>0.00E+00</c:formatCode>
                <c:ptCount val="1"/>
                <c:pt idx="0">
                  <c:v>394000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30464"/>
        <c:axId val="208832384"/>
      </c:scatterChart>
      <c:valAx>
        <c:axId val="208830464"/>
        <c:scaling>
          <c:orientation val="minMax"/>
          <c:max val="70"/>
          <c:min val="4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扁平率</a:t>
                </a:r>
              </a:p>
            </c:rich>
          </c:tx>
          <c:layout>
            <c:manualLayout>
              <c:xMode val="edge"/>
              <c:yMode val="edge"/>
              <c:x val="0.53020251663172979"/>
              <c:y val="0.878688524590163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8832384"/>
        <c:crosses val="autoZero"/>
        <c:crossBetween val="midCat"/>
        <c:majorUnit val="5"/>
      </c:valAx>
      <c:valAx>
        <c:axId val="208832384"/>
        <c:scaling>
          <c:logBase val="10"/>
          <c:orientation val="minMax"/>
          <c:max val="1000000"/>
          <c:min val="1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ばね定数(N/m)</a:t>
                </a:r>
              </a:p>
            </c:rich>
          </c:tx>
          <c:layout>
            <c:manualLayout>
              <c:xMode val="edge"/>
              <c:yMode val="edge"/>
              <c:x val="2.6845637583892617E-2"/>
              <c:y val="0.26229508196721313"/>
            </c:manualLayout>
          </c:layout>
          <c:overlay val="0"/>
          <c:spPr>
            <a:noFill/>
            <a:ln w="25400">
              <a:noFill/>
            </a:ln>
          </c:spPr>
        </c:title>
        <c:numFmt formatCode="0.0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883046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838200</xdr:colOff>
      <xdr:row>40</xdr:row>
      <xdr:rowOff>171450</xdr:rowOff>
    </xdr:from>
    <xdr:to>
      <xdr:col>16</xdr:col>
      <xdr:colOff>104775</xdr:colOff>
      <xdr:row>63</xdr:row>
      <xdr:rowOff>76200</xdr:rowOff>
    </xdr:to>
    <xdr:graphicFrame macro="">
      <xdr:nvGraphicFramePr>
        <xdr:cNvPr id="3426022" name="グラフ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285750</xdr:colOff>
      <xdr:row>40</xdr:row>
      <xdr:rowOff>161925</xdr:rowOff>
    </xdr:from>
    <xdr:to>
      <xdr:col>8</xdr:col>
      <xdr:colOff>542925</xdr:colOff>
      <xdr:row>63</xdr:row>
      <xdr:rowOff>66675</xdr:rowOff>
    </xdr:to>
    <xdr:graphicFrame macro="">
      <xdr:nvGraphicFramePr>
        <xdr:cNvPr id="3426023" name="グラフ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266700</xdr:colOff>
      <xdr:row>67</xdr:row>
      <xdr:rowOff>9525</xdr:rowOff>
    </xdr:from>
    <xdr:to>
      <xdr:col>8</xdr:col>
      <xdr:colOff>533400</xdr:colOff>
      <xdr:row>89</xdr:row>
      <xdr:rowOff>95250</xdr:rowOff>
    </xdr:to>
    <xdr:graphicFrame macro="">
      <xdr:nvGraphicFramePr>
        <xdr:cNvPr id="3426024" name="グラフ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219075</xdr:colOff>
      <xdr:row>3</xdr:row>
      <xdr:rowOff>38100</xdr:rowOff>
    </xdr:from>
    <xdr:to>
      <xdr:col>4</xdr:col>
      <xdr:colOff>885825</xdr:colOff>
      <xdr:row>28</xdr:row>
      <xdr:rowOff>152400</xdr:rowOff>
    </xdr:to>
    <xdr:grpSp>
      <xdr:nvGrpSpPr>
        <xdr:cNvPr id="3426025" name="グループ化 4"/>
        <xdr:cNvGrpSpPr>
          <a:grpSpLocks/>
        </xdr:cNvGrpSpPr>
      </xdr:nvGrpSpPr>
      <xdr:grpSpPr bwMode="auto">
        <a:xfrm>
          <a:off x="1178902" y="543658"/>
          <a:ext cx="3751385" cy="4327280"/>
          <a:chOff x="1096904" y="538688"/>
          <a:chExt cx="3751385" cy="4327280"/>
        </a:xfrm>
      </xdr:grpSpPr>
      <xdr:sp macro="" textlink="">
        <xdr:nvSpPr>
          <xdr:cNvPr id="3426026" name="Rectangle 103"/>
          <xdr:cNvSpPr>
            <a:spLocks noChangeArrowheads="1"/>
          </xdr:cNvSpPr>
        </xdr:nvSpPr>
        <xdr:spPr bwMode="auto">
          <a:xfrm>
            <a:off x="1096904" y="538688"/>
            <a:ext cx="3751385" cy="43272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grpSp>
        <xdr:nvGrpSpPr>
          <xdr:cNvPr id="3426027" name="Group 136"/>
          <xdr:cNvGrpSpPr>
            <a:grpSpLocks/>
          </xdr:cNvGrpSpPr>
        </xdr:nvGrpSpPr>
        <xdr:grpSpPr bwMode="auto">
          <a:xfrm>
            <a:off x="2567354" y="2715358"/>
            <a:ext cx="1393581" cy="1348154"/>
            <a:chOff x="985" y="260"/>
            <a:chExt cx="146" cy="125"/>
          </a:xfrm>
        </xdr:grpSpPr>
        <xdr:sp macro="" textlink="">
          <xdr:nvSpPr>
            <xdr:cNvPr id="3426059" name="Oval 137"/>
            <xdr:cNvSpPr>
              <a:spLocks noChangeArrowheads="1"/>
            </xdr:cNvSpPr>
          </xdr:nvSpPr>
          <xdr:spPr bwMode="auto">
            <a:xfrm>
              <a:off x="985" y="260"/>
              <a:ext cx="146" cy="125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  <xdr:sp macro="" textlink="">
          <xdr:nvSpPr>
            <xdr:cNvPr id="3426060" name="Oval 138"/>
            <xdr:cNvSpPr>
              <a:spLocks noChangeArrowheads="1"/>
            </xdr:cNvSpPr>
          </xdr:nvSpPr>
          <xdr:spPr bwMode="auto">
            <a:xfrm>
              <a:off x="1014" y="283"/>
              <a:ext cx="91" cy="77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</xdr:spPr>
        </xdr:sp>
      </xdr:grpSp>
      <xdr:sp macro="" textlink="">
        <xdr:nvSpPr>
          <xdr:cNvPr id="3426028" name="Line 139"/>
          <xdr:cNvSpPr>
            <a:spLocks noChangeShapeType="1"/>
          </xdr:cNvSpPr>
        </xdr:nvSpPr>
        <xdr:spPr bwMode="auto">
          <a:xfrm flipV="1">
            <a:off x="3275135" y="4063512"/>
            <a:ext cx="0" cy="365613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Text Box 140"/>
          <xdr:cNvSpPr txBox="1">
            <a:spLocks noChangeArrowheads="1"/>
          </xdr:cNvSpPr>
        </xdr:nvSpPr>
        <xdr:spPr bwMode="auto">
          <a:xfrm>
            <a:off x="3496267" y="3292412"/>
            <a:ext cx="314202" cy="2154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m1</a:t>
            </a:r>
          </a:p>
        </xdr:txBody>
      </xdr:sp>
      <xdr:sp macro="" textlink="">
        <xdr:nvSpPr>
          <xdr:cNvPr id="3426030" name="Freeform 141"/>
          <xdr:cNvSpPr>
            <a:spLocks/>
          </xdr:cNvSpPr>
        </xdr:nvSpPr>
        <xdr:spPr bwMode="auto">
          <a:xfrm>
            <a:off x="3313235" y="3513260"/>
            <a:ext cx="180975" cy="540727"/>
          </a:xfrm>
          <a:custGeom>
            <a:avLst/>
            <a:gdLst>
              <a:gd name="T0" fmla="*/ 2147483647 w 44"/>
              <a:gd name="T1" fmla="*/ 0 h 135"/>
              <a:gd name="T2" fmla="*/ 2147483647 w 44"/>
              <a:gd name="T3" fmla="*/ 2147483647 h 135"/>
              <a:gd name="T4" fmla="*/ 0 w 44"/>
              <a:gd name="T5" fmla="*/ 2147483647 h 135"/>
              <a:gd name="T6" fmla="*/ 2147483647 w 44"/>
              <a:gd name="T7" fmla="*/ 2147483647 h 135"/>
              <a:gd name="T8" fmla="*/ 0 w 44"/>
              <a:gd name="T9" fmla="*/ 2147483647 h 135"/>
              <a:gd name="T10" fmla="*/ 2147483647 w 44"/>
              <a:gd name="T11" fmla="*/ 2147483647 h 135"/>
              <a:gd name="T12" fmla="*/ 0 w 44"/>
              <a:gd name="T13" fmla="*/ 2147483647 h 135"/>
              <a:gd name="T14" fmla="*/ 2147483647 w 44"/>
              <a:gd name="T15" fmla="*/ 2147483647 h 135"/>
              <a:gd name="T16" fmla="*/ 0 w 44"/>
              <a:gd name="T17" fmla="*/ 2147483647 h 135"/>
              <a:gd name="T18" fmla="*/ 2147483647 w 44"/>
              <a:gd name="T19" fmla="*/ 2147483647 h 135"/>
              <a:gd name="T20" fmla="*/ 2147483647 w 44"/>
              <a:gd name="T21" fmla="*/ 2147483647 h 135"/>
              <a:gd name="T22" fmla="*/ 2147483647 w 44"/>
              <a:gd name="T23" fmla="*/ 2147483647 h 135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44" h="135">
                <a:moveTo>
                  <a:pt x="23" y="0"/>
                </a:moveTo>
                <a:lnTo>
                  <a:pt x="23" y="26"/>
                </a:lnTo>
                <a:lnTo>
                  <a:pt x="0" y="36"/>
                </a:lnTo>
                <a:lnTo>
                  <a:pt x="44" y="44"/>
                </a:lnTo>
                <a:lnTo>
                  <a:pt x="0" y="55"/>
                </a:lnTo>
                <a:lnTo>
                  <a:pt x="44" y="62"/>
                </a:lnTo>
                <a:lnTo>
                  <a:pt x="0" y="72"/>
                </a:lnTo>
                <a:lnTo>
                  <a:pt x="44" y="81"/>
                </a:lnTo>
                <a:lnTo>
                  <a:pt x="0" y="90"/>
                </a:lnTo>
                <a:lnTo>
                  <a:pt x="44" y="98"/>
                </a:lnTo>
                <a:lnTo>
                  <a:pt x="20" y="107"/>
                </a:lnTo>
                <a:lnTo>
                  <a:pt x="20" y="135"/>
                </a:lnTo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426031" name="Oval 142"/>
          <xdr:cNvSpPr>
            <a:spLocks noChangeArrowheads="1"/>
          </xdr:cNvSpPr>
        </xdr:nvSpPr>
        <xdr:spPr bwMode="auto">
          <a:xfrm>
            <a:off x="3113210" y="3456110"/>
            <a:ext cx="57150" cy="57150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" name="Text Box 143"/>
          <xdr:cNvSpPr txBox="1">
            <a:spLocks noChangeArrowheads="1"/>
          </xdr:cNvSpPr>
        </xdr:nvSpPr>
        <xdr:spPr bwMode="auto">
          <a:xfrm>
            <a:off x="3029724" y="4266518"/>
            <a:ext cx="199947" cy="2154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x0</a:t>
            </a:r>
          </a:p>
        </xdr:txBody>
      </xdr:sp>
      <xdr:sp macro="" textlink="">
        <xdr:nvSpPr>
          <xdr:cNvPr id="13" name="Text Box 144"/>
          <xdr:cNvSpPr txBox="1">
            <a:spLocks noChangeArrowheads="1"/>
          </xdr:cNvSpPr>
        </xdr:nvSpPr>
        <xdr:spPr bwMode="auto">
          <a:xfrm>
            <a:off x="3515310" y="3723266"/>
            <a:ext cx="266596" cy="2060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k1</a:t>
            </a:r>
          </a:p>
        </xdr:txBody>
      </xdr:sp>
      <xdr:sp macro="" textlink="">
        <xdr:nvSpPr>
          <xdr:cNvPr id="3426034" name="Rectangle 146"/>
          <xdr:cNvSpPr>
            <a:spLocks noChangeArrowheads="1"/>
          </xdr:cNvSpPr>
        </xdr:nvSpPr>
        <xdr:spPr bwMode="auto">
          <a:xfrm>
            <a:off x="1948229" y="1236785"/>
            <a:ext cx="2610583" cy="7312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15" name="Text Box 147"/>
          <xdr:cNvSpPr txBox="1">
            <a:spLocks noChangeArrowheads="1"/>
          </xdr:cNvSpPr>
        </xdr:nvSpPr>
        <xdr:spPr bwMode="auto">
          <a:xfrm>
            <a:off x="3210629" y="1503428"/>
            <a:ext cx="352287" cy="2060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m2</a:t>
            </a:r>
          </a:p>
        </xdr:txBody>
      </xdr:sp>
      <xdr:sp macro="" textlink="">
        <xdr:nvSpPr>
          <xdr:cNvPr id="3426036" name="Freeform 148"/>
          <xdr:cNvSpPr>
            <a:spLocks/>
          </xdr:cNvSpPr>
        </xdr:nvSpPr>
        <xdr:spPr bwMode="auto">
          <a:xfrm>
            <a:off x="3370385" y="1977537"/>
            <a:ext cx="304800" cy="1262428"/>
          </a:xfrm>
          <a:custGeom>
            <a:avLst/>
            <a:gdLst>
              <a:gd name="T0" fmla="*/ 2147483647 w 44"/>
              <a:gd name="T1" fmla="*/ 0 h 135"/>
              <a:gd name="T2" fmla="*/ 2147483647 w 44"/>
              <a:gd name="T3" fmla="*/ 2147483647 h 135"/>
              <a:gd name="T4" fmla="*/ 0 w 44"/>
              <a:gd name="T5" fmla="*/ 2147483647 h 135"/>
              <a:gd name="T6" fmla="*/ 2147483647 w 44"/>
              <a:gd name="T7" fmla="*/ 2147483647 h 135"/>
              <a:gd name="T8" fmla="*/ 0 w 44"/>
              <a:gd name="T9" fmla="*/ 2147483647 h 135"/>
              <a:gd name="T10" fmla="*/ 2147483647 w 44"/>
              <a:gd name="T11" fmla="*/ 2147483647 h 135"/>
              <a:gd name="T12" fmla="*/ 0 w 44"/>
              <a:gd name="T13" fmla="*/ 2147483647 h 135"/>
              <a:gd name="T14" fmla="*/ 2147483647 w 44"/>
              <a:gd name="T15" fmla="*/ 2147483647 h 135"/>
              <a:gd name="T16" fmla="*/ 0 w 44"/>
              <a:gd name="T17" fmla="*/ 2147483647 h 135"/>
              <a:gd name="T18" fmla="*/ 2147483647 w 44"/>
              <a:gd name="T19" fmla="*/ 2147483647 h 135"/>
              <a:gd name="T20" fmla="*/ 2147483647 w 44"/>
              <a:gd name="T21" fmla="*/ 2147483647 h 135"/>
              <a:gd name="T22" fmla="*/ 2147483647 w 44"/>
              <a:gd name="T23" fmla="*/ 2147483647 h 135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44" h="135">
                <a:moveTo>
                  <a:pt x="23" y="0"/>
                </a:moveTo>
                <a:lnTo>
                  <a:pt x="23" y="26"/>
                </a:lnTo>
                <a:lnTo>
                  <a:pt x="0" y="36"/>
                </a:lnTo>
                <a:lnTo>
                  <a:pt x="44" y="44"/>
                </a:lnTo>
                <a:lnTo>
                  <a:pt x="0" y="55"/>
                </a:lnTo>
                <a:lnTo>
                  <a:pt x="44" y="62"/>
                </a:lnTo>
                <a:lnTo>
                  <a:pt x="0" y="72"/>
                </a:lnTo>
                <a:lnTo>
                  <a:pt x="44" y="81"/>
                </a:lnTo>
                <a:lnTo>
                  <a:pt x="0" y="90"/>
                </a:lnTo>
                <a:lnTo>
                  <a:pt x="44" y="98"/>
                </a:lnTo>
                <a:lnTo>
                  <a:pt x="20" y="107"/>
                </a:lnTo>
                <a:lnTo>
                  <a:pt x="20" y="135"/>
                </a:lnTo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grpSp>
        <xdr:nvGrpSpPr>
          <xdr:cNvPr id="3426037" name="Group 149"/>
          <xdr:cNvGrpSpPr>
            <a:grpSpLocks/>
          </xdr:cNvGrpSpPr>
        </xdr:nvGrpSpPr>
        <xdr:grpSpPr bwMode="auto">
          <a:xfrm>
            <a:off x="2815004" y="1977537"/>
            <a:ext cx="393456" cy="1243378"/>
            <a:chOff x="1001" y="164"/>
            <a:chExt cx="41" cy="133"/>
          </a:xfrm>
        </xdr:grpSpPr>
        <xdr:sp macro="" textlink="">
          <xdr:nvSpPr>
            <xdr:cNvPr id="3426055" name="Line 150"/>
            <xdr:cNvSpPr>
              <a:spLocks noChangeShapeType="1"/>
            </xdr:cNvSpPr>
          </xdr:nvSpPr>
          <xdr:spPr bwMode="auto">
            <a:xfrm>
              <a:off x="1021" y="164"/>
              <a:ext cx="0" cy="53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26056" name="Freeform 151"/>
            <xdr:cNvSpPr>
              <a:spLocks/>
            </xdr:cNvSpPr>
          </xdr:nvSpPr>
          <xdr:spPr bwMode="auto">
            <a:xfrm>
              <a:off x="1001" y="206"/>
              <a:ext cx="41" cy="27"/>
            </a:xfrm>
            <a:custGeom>
              <a:avLst/>
              <a:gdLst>
                <a:gd name="T0" fmla="*/ 0 w 44"/>
                <a:gd name="T1" fmla="*/ 0 h 27"/>
                <a:gd name="T2" fmla="*/ 0 w 44"/>
                <a:gd name="T3" fmla="*/ 27 h 27"/>
                <a:gd name="T4" fmla="*/ 11 w 44"/>
                <a:gd name="T5" fmla="*/ 27 h 27"/>
                <a:gd name="T6" fmla="*/ 11 w 44"/>
                <a:gd name="T7" fmla="*/ 1 h 27"/>
                <a:gd name="T8" fmla="*/ 0 60000 65536"/>
                <a:gd name="T9" fmla="*/ 0 60000 65536"/>
                <a:gd name="T10" fmla="*/ 0 60000 65536"/>
                <a:gd name="T11" fmla="*/ 0 60000 65536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0" t="0" r="r" b="b"/>
              <a:pathLst>
                <a:path w="44" h="27">
                  <a:moveTo>
                    <a:pt x="0" y="0"/>
                  </a:moveTo>
                  <a:lnTo>
                    <a:pt x="0" y="27"/>
                  </a:lnTo>
                  <a:lnTo>
                    <a:pt x="44" y="27"/>
                  </a:lnTo>
                  <a:lnTo>
                    <a:pt x="44" y="1"/>
                  </a:lnTo>
                </a:path>
              </a:pathLst>
            </a:cu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3426057" name="Line 152"/>
            <xdr:cNvSpPr>
              <a:spLocks noChangeShapeType="1"/>
            </xdr:cNvSpPr>
          </xdr:nvSpPr>
          <xdr:spPr bwMode="auto">
            <a:xfrm>
              <a:off x="1007" y="217"/>
              <a:ext cx="28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26058" name="Line 153"/>
            <xdr:cNvSpPr>
              <a:spLocks noChangeShapeType="1"/>
            </xdr:cNvSpPr>
          </xdr:nvSpPr>
          <xdr:spPr bwMode="auto">
            <a:xfrm>
              <a:off x="1021" y="233"/>
              <a:ext cx="0" cy="64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18" name="Text Box 154"/>
          <xdr:cNvSpPr txBox="1">
            <a:spLocks noChangeArrowheads="1"/>
          </xdr:cNvSpPr>
        </xdr:nvSpPr>
        <xdr:spPr bwMode="auto">
          <a:xfrm>
            <a:off x="3762863" y="2411969"/>
            <a:ext cx="295160" cy="22479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k2</a:t>
            </a:r>
          </a:p>
        </xdr:txBody>
      </xdr:sp>
      <xdr:sp macro="" textlink="">
        <xdr:nvSpPr>
          <xdr:cNvPr id="19" name="Text Box 155"/>
          <xdr:cNvSpPr txBox="1">
            <a:spLocks noChangeArrowheads="1"/>
          </xdr:cNvSpPr>
        </xdr:nvSpPr>
        <xdr:spPr bwMode="auto">
          <a:xfrm>
            <a:off x="2525096" y="2440069"/>
            <a:ext cx="257075" cy="21542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c2</a:t>
            </a:r>
          </a:p>
        </xdr:txBody>
      </xdr:sp>
      <xdr:sp macro="" textlink="">
        <xdr:nvSpPr>
          <xdr:cNvPr id="3426040" name="Oval 156"/>
          <xdr:cNvSpPr>
            <a:spLocks noChangeArrowheads="1"/>
          </xdr:cNvSpPr>
        </xdr:nvSpPr>
        <xdr:spPr bwMode="auto">
          <a:xfrm>
            <a:off x="2979860" y="3211390"/>
            <a:ext cx="57150" cy="57150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26041" name="Oval 157"/>
          <xdr:cNvSpPr>
            <a:spLocks noChangeArrowheads="1"/>
          </xdr:cNvSpPr>
        </xdr:nvSpPr>
        <xdr:spPr bwMode="auto">
          <a:xfrm>
            <a:off x="3475160" y="3211390"/>
            <a:ext cx="57150" cy="57150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grpSp>
        <xdr:nvGrpSpPr>
          <xdr:cNvPr id="3426042" name="Group 158"/>
          <xdr:cNvGrpSpPr>
            <a:grpSpLocks/>
          </xdr:cNvGrpSpPr>
        </xdr:nvGrpSpPr>
        <xdr:grpSpPr bwMode="auto">
          <a:xfrm>
            <a:off x="3046535" y="3532310"/>
            <a:ext cx="180975" cy="521677"/>
            <a:chOff x="1001" y="164"/>
            <a:chExt cx="41" cy="133"/>
          </a:xfrm>
        </xdr:grpSpPr>
        <xdr:sp macro="" textlink="">
          <xdr:nvSpPr>
            <xdr:cNvPr id="3426051" name="Line 159"/>
            <xdr:cNvSpPr>
              <a:spLocks noChangeShapeType="1"/>
            </xdr:cNvSpPr>
          </xdr:nvSpPr>
          <xdr:spPr bwMode="auto">
            <a:xfrm>
              <a:off x="1021" y="164"/>
              <a:ext cx="0" cy="53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26052" name="Freeform 160"/>
            <xdr:cNvSpPr>
              <a:spLocks/>
            </xdr:cNvSpPr>
          </xdr:nvSpPr>
          <xdr:spPr bwMode="auto">
            <a:xfrm>
              <a:off x="1001" y="206"/>
              <a:ext cx="41" cy="27"/>
            </a:xfrm>
            <a:custGeom>
              <a:avLst/>
              <a:gdLst>
                <a:gd name="T0" fmla="*/ 0 w 44"/>
                <a:gd name="T1" fmla="*/ 0 h 27"/>
                <a:gd name="T2" fmla="*/ 0 w 44"/>
                <a:gd name="T3" fmla="*/ 27 h 27"/>
                <a:gd name="T4" fmla="*/ 11 w 44"/>
                <a:gd name="T5" fmla="*/ 27 h 27"/>
                <a:gd name="T6" fmla="*/ 11 w 44"/>
                <a:gd name="T7" fmla="*/ 1 h 27"/>
                <a:gd name="T8" fmla="*/ 0 60000 65536"/>
                <a:gd name="T9" fmla="*/ 0 60000 65536"/>
                <a:gd name="T10" fmla="*/ 0 60000 65536"/>
                <a:gd name="T11" fmla="*/ 0 60000 65536"/>
              </a:gdLst>
              <a:ahLst/>
              <a:cxnLst>
                <a:cxn ang="T8">
                  <a:pos x="T0" y="T1"/>
                </a:cxn>
                <a:cxn ang="T9">
                  <a:pos x="T2" y="T3"/>
                </a:cxn>
                <a:cxn ang="T10">
                  <a:pos x="T4" y="T5"/>
                </a:cxn>
                <a:cxn ang="T11">
                  <a:pos x="T6" y="T7"/>
                </a:cxn>
              </a:cxnLst>
              <a:rect l="0" t="0" r="r" b="b"/>
              <a:pathLst>
                <a:path w="44" h="27">
                  <a:moveTo>
                    <a:pt x="0" y="0"/>
                  </a:moveTo>
                  <a:lnTo>
                    <a:pt x="0" y="27"/>
                  </a:lnTo>
                  <a:lnTo>
                    <a:pt x="44" y="27"/>
                  </a:lnTo>
                  <a:lnTo>
                    <a:pt x="44" y="1"/>
                  </a:lnTo>
                </a:path>
              </a:pathLst>
            </a:cu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9"/>
                  </a:solidFill>
                </a14:hiddenFill>
              </a:ext>
            </a:extLst>
          </xdr:spPr>
        </xdr:sp>
        <xdr:sp macro="" textlink="">
          <xdr:nvSpPr>
            <xdr:cNvPr id="3426053" name="Line 161"/>
            <xdr:cNvSpPr>
              <a:spLocks noChangeShapeType="1"/>
            </xdr:cNvSpPr>
          </xdr:nvSpPr>
          <xdr:spPr bwMode="auto">
            <a:xfrm>
              <a:off x="1007" y="217"/>
              <a:ext cx="28" cy="0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26054" name="Line 162"/>
            <xdr:cNvSpPr>
              <a:spLocks noChangeShapeType="1"/>
            </xdr:cNvSpPr>
          </xdr:nvSpPr>
          <xdr:spPr bwMode="auto">
            <a:xfrm>
              <a:off x="1021" y="233"/>
              <a:ext cx="0" cy="64"/>
            </a:xfrm>
            <a:prstGeom prst="line">
              <a:avLst/>
            </a:prstGeom>
            <a:noFill/>
            <a:ln w="952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23" name="Text Box 163"/>
          <xdr:cNvSpPr txBox="1">
            <a:spLocks noChangeArrowheads="1"/>
          </xdr:cNvSpPr>
        </xdr:nvSpPr>
        <xdr:spPr bwMode="auto">
          <a:xfrm>
            <a:off x="2896426" y="3835663"/>
            <a:ext cx="209468" cy="2060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c1</a:t>
            </a:r>
          </a:p>
        </xdr:txBody>
      </xdr:sp>
      <xdr:sp macro="" textlink="">
        <xdr:nvSpPr>
          <xdr:cNvPr id="3426044" name="Line 164"/>
          <xdr:cNvSpPr>
            <a:spLocks noChangeShapeType="1"/>
          </xdr:cNvSpPr>
        </xdr:nvSpPr>
        <xdr:spPr bwMode="auto">
          <a:xfrm flipV="1">
            <a:off x="3246560" y="778852"/>
            <a:ext cx="0" cy="44840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26045" name="Line 165"/>
          <xdr:cNvSpPr>
            <a:spLocks noChangeShapeType="1"/>
          </xdr:cNvSpPr>
        </xdr:nvSpPr>
        <xdr:spPr bwMode="auto">
          <a:xfrm flipV="1">
            <a:off x="3265610" y="2743933"/>
            <a:ext cx="0" cy="45133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Text Box 166"/>
          <xdr:cNvSpPr txBox="1">
            <a:spLocks noChangeArrowheads="1"/>
          </xdr:cNvSpPr>
        </xdr:nvSpPr>
        <xdr:spPr bwMode="auto">
          <a:xfrm>
            <a:off x="3191586" y="3170648"/>
            <a:ext cx="209468" cy="2060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x1</a:t>
            </a:r>
          </a:p>
        </xdr:txBody>
      </xdr:sp>
      <xdr:sp macro="" textlink="">
        <xdr:nvSpPr>
          <xdr:cNvPr id="3426047" name="Oval 167"/>
          <xdr:cNvSpPr>
            <a:spLocks noChangeArrowheads="1"/>
          </xdr:cNvSpPr>
        </xdr:nvSpPr>
        <xdr:spPr bwMode="auto">
          <a:xfrm>
            <a:off x="3379910" y="3456110"/>
            <a:ext cx="57150" cy="57150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" name="Text Box 172"/>
          <xdr:cNvSpPr txBox="1">
            <a:spLocks noChangeArrowheads="1"/>
          </xdr:cNvSpPr>
        </xdr:nvSpPr>
        <xdr:spPr bwMode="auto">
          <a:xfrm>
            <a:off x="3191586" y="622986"/>
            <a:ext cx="209468" cy="2154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x2</a:t>
            </a:r>
          </a:p>
        </xdr:txBody>
      </xdr:sp>
      <xdr:sp macro="" textlink="">
        <xdr:nvSpPr>
          <xdr:cNvPr id="3426049" name="AutoShape 38"/>
          <xdr:cNvSpPr>
            <a:spLocks noChangeArrowheads="1"/>
          </xdr:cNvSpPr>
        </xdr:nvSpPr>
        <xdr:spPr bwMode="auto">
          <a:xfrm>
            <a:off x="1293202" y="1462454"/>
            <a:ext cx="464527" cy="232263"/>
          </a:xfrm>
          <a:prstGeom prst="leftArrow">
            <a:avLst>
              <a:gd name="adj1" fmla="val 50000"/>
              <a:gd name="adj2" fmla="val 490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3426050" name="Freeform 115"/>
          <xdr:cNvSpPr>
            <a:spLocks/>
          </xdr:cNvSpPr>
        </xdr:nvSpPr>
        <xdr:spPr bwMode="auto">
          <a:xfrm>
            <a:off x="1378927" y="3726473"/>
            <a:ext cx="3056060" cy="422764"/>
          </a:xfrm>
          <a:custGeom>
            <a:avLst/>
            <a:gdLst>
              <a:gd name="T0" fmla="*/ 0 w 320"/>
              <a:gd name="T1" fmla="*/ 2147483647 h 46"/>
              <a:gd name="T2" fmla="*/ 2147483647 w 320"/>
              <a:gd name="T3" fmla="*/ 2147483647 h 46"/>
              <a:gd name="T4" fmla="*/ 2147483647 w 320"/>
              <a:gd name="T5" fmla="*/ 2147483647 h 46"/>
              <a:gd name="T6" fmla="*/ 2147483647 w 320"/>
              <a:gd name="T7" fmla="*/ 2147483647 h 46"/>
              <a:gd name="T8" fmla="*/ 2147483647 w 320"/>
              <a:gd name="T9" fmla="*/ 2147483647 h 46"/>
              <a:gd name="T10" fmla="*/ 2147483647 w 320"/>
              <a:gd name="T11" fmla="*/ 2147483647 h 46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0" t="0" r="r" b="b"/>
            <a:pathLst>
              <a:path w="320" h="46">
                <a:moveTo>
                  <a:pt x="0" y="34"/>
                </a:moveTo>
                <a:cubicBezTo>
                  <a:pt x="9" y="22"/>
                  <a:pt x="18" y="11"/>
                  <a:pt x="37" y="6"/>
                </a:cubicBezTo>
                <a:cubicBezTo>
                  <a:pt x="56" y="1"/>
                  <a:pt x="92" y="0"/>
                  <a:pt x="115" y="5"/>
                </a:cubicBezTo>
                <a:cubicBezTo>
                  <a:pt x="138" y="10"/>
                  <a:pt x="146" y="27"/>
                  <a:pt x="173" y="33"/>
                </a:cubicBezTo>
                <a:cubicBezTo>
                  <a:pt x="200" y="39"/>
                  <a:pt x="253" y="46"/>
                  <a:pt x="277" y="43"/>
                </a:cubicBezTo>
                <a:cubicBezTo>
                  <a:pt x="301" y="40"/>
                  <a:pt x="310" y="27"/>
                  <a:pt x="320" y="15"/>
                </a:cubicBezTo>
              </a:path>
            </a:pathLst>
          </a:cu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0.6517</cdr:x>
      <cdr:y>0.43902</cdr:y>
    </cdr:from>
    <cdr:to>
      <cdr:x>0.6517</cdr:x>
      <cdr:y>0.52729</cdr:y>
    </cdr:to>
    <cdr:cxnSp macro="">
      <cdr:nvCxnSpPr>
        <cdr:cNvPr id="708610" name="直線矢印コネクタ 1"/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V="1">
          <a:off x="3758447" y="1713879"/>
          <a:ext cx="0" cy="346536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0.6517</cdr:x>
      <cdr:y>0.56606</cdr:y>
    </cdr:from>
    <cdr:to>
      <cdr:x>0.6517</cdr:x>
      <cdr:y>0.64921</cdr:y>
    </cdr:to>
    <cdr:cxnSp macro="">
      <cdr:nvCxnSpPr>
        <cdr:cNvPr id="708611" name="直線矢印コネクタ 2"/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>
          <a:off x="3758447" y="2215988"/>
          <a:ext cx="0" cy="325513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0.61927</cdr:x>
      <cdr:y>0.3666</cdr:y>
    </cdr:from>
    <cdr:to>
      <cdr:x>0.6883</cdr:x>
      <cdr:y>0.42463</cdr:y>
    </cdr:to>
    <cdr:sp macro="" textlink="">
      <cdr:nvSpPr>
        <cdr:cNvPr id="708612" name="テキスト ボックス 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1418" y="1429431"/>
          <a:ext cx="398108" cy="22717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50999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悪化</a:t>
          </a:r>
        </a:p>
      </cdr:txBody>
    </cdr:sp>
  </cdr:relSizeAnchor>
  <cdr:relSizeAnchor xmlns:cdr="http://schemas.openxmlformats.org/drawingml/2006/chartDrawing">
    <cdr:from>
      <cdr:x>0.61927</cdr:x>
      <cdr:y>0.6614</cdr:y>
    </cdr:from>
    <cdr:to>
      <cdr:x>0.6915</cdr:x>
      <cdr:y>0.72773</cdr:y>
    </cdr:to>
    <cdr:sp macro="" textlink="">
      <cdr:nvSpPr>
        <cdr:cNvPr id="708613" name="テキスト ボックス 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1418" y="2589223"/>
          <a:ext cx="416563" cy="25966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5000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改善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0.8216</cdr:x>
      <cdr:y>0.27343</cdr:y>
    </cdr:from>
    <cdr:to>
      <cdr:x>0.8216</cdr:x>
      <cdr:y>0.36195</cdr:y>
    </cdr:to>
    <cdr:cxnSp macro="">
      <cdr:nvCxnSpPr>
        <cdr:cNvPr id="708610" name="直線矢印コネクタ 1"/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V="1">
          <a:off x="4515450" y="1054791"/>
          <a:ext cx="0" cy="341477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0.8216</cdr:x>
      <cdr:y>0.40169</cdr:y>
    </cdr:from>
    <cdr:to>
      <cdr:x>0.8216</cdr:x>
      <cdr:y>0.48484</cdr:y>
    </cdr:to>
    <cdr:cxnSp macro="">
      <cdr:nvCxnSpPr>
        <cdr:cNvPr id="708611" name="直線矢印コネクタ 2"/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>
          <a:off x="4515450" y="1549570"/>
          <a:ext cx="0" cy="320761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0.78917</cdr:x>
      <cdr:y>0.20077</cdr:y>
    </cdr:from>
    <cdr:to>
      <cdr:x>0.8582</cdr:x>
      <cdr:y>0.2588</cdr:y>
    </cdr:to>
    <cdr:sp macro="" textlink="">
      <cdr:nvSpPr>
        <cdr:cNvPr id="708612" name="テキスト ボックス 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7217" y="774496"/>
          <a:ext cx="379384" cy="2238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50999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悪化</a:t>
          </a:r>
        </a:p>
      </cdr:txBody>
    </cdr:sp>
  </cdr:relSizeAnchor>
  <cdr:relSizeAnchor xmlns:cdr="http://schemas.openxmlformats.org/drawingml/2006/chartDrawing">
    <cdr:from>
      <cdr:x>0.78917</cdr:x>
      <cdr:y>0.49703</cdr:y>
    </cdr:from>
    <cdr:to>
      <cdr:x>0.8614</cdr:x>
      <cdr:y>0.56336</cdr:y>
    </cdr:to>
    <cdr:sp macro="" textlink="">
      <cdr:nvSpPr>
        <cdr:cNvPr id="708613" name="テキスト ボックス 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7217" y="1917356"/>
          <a:ext cx="396971" cy="25587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5000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改善</a:t>
          </a:r>
        </a:p>
      </cdr:txBody>
    </cdr:sp>
  </cdr:relSizeAnchor>
  <cdr:relSizeAnchor xmlns:cdr="http://schemas.openxmlformats.org/drawingml/2006/chartDrawing">
    <cdr:from>
      <cdr:x>0.26895</cdr:x>
      <cdr:y>0.12953</cdr:y>
    </cdr:from>
    <cdr:to>
      <cdr:x>0.56815</cdr:x>
      <cdr:y>0.12953</cdr:y>
    </cdr:to>
    <cdr:cxnSp macro="">
      <cdr:nvCxnSpPr>
        <cdr:cNvPr id="5" name="直線矢印コネクタ 4"/>
        <cdr:cNvCxnSpPr/>
      </cdr:nvCxnSpPr>
      <cdr:spPr bwMode="auto">
        <a:xfrm xmlns:a="http://schemas.openxmlformats.org/drawingml/2006/main">
          <a:off x="1475302" y="492005"/>
          <a:ext cx="1641235" cy="0"/>
        </a:xfrm>
        <a:prstGeom xmlns:a="http://schemas.openxmlformats.org/drawingml/2006/main" prst="straightConnector1">
          <a:avLst/>
        </a:prstGeom>
        <a:ln xmlns:a="http://schemas.openxmlformats.org/drawingml/2006/main">
          <a:headEnd type="arrow" w="med" len="med"/>
          <a:tailEnd type="arrow"/>
        </a:ln>
        <a:extLst xmlns:a="http://schemas.openxmlformats.org/drawingml/2006/main"/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0.6483</cdr:x>
      <cdr:y>0.12941</cdr:y>
    </cdr:from>
    <cdr:to>
      <cdr:x>0.91677</cdr:x>
      <cdr:y>0.12941</cdr:y>
    </cdr:to>
    <cdr:cxnSp macro="">
      <cdr:nvCxnSpPr>
        <cdr:cNvPr id="12" name="直線矢印コネクタ 11"/>
        <cdr:cNvCxnSpPr/>
      </cdr:nvCxnSpPr>
      <cdr:spPr bwMode="auto">
        <a:xfrm xmlns:a="http://schemas.openxmlformats.org/drawingml/2006/main">
          <a:off x="3556193" y="491549"/>
          <a:ext cx="1472668" cy="0"/>
        </a:xfrm>
        <a:prstGeom xmlns:a="http://schemas.openxmlformats.org/drawingml/2006/main" prst="straightConnector1">
          <a:avLst/>
        </a:prstGeom>
        <a:ln xmlns:a="http://schemas.openxmlformats.org/drawingml/2006/main">
          <a:headEnd type="arrow" w="med" len="med"/>
          <a:tailEnd type="arrow"/>
        </a:ln>
        <a:extLst xmlns:a="http://schemas.openxmlformats.org/drawingml/2006/main"/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0.41116</cdr:x>
      <cdr:y>0.07345</cdr:y>
    </cdr:from>
    <cdr:to>
      <cdr:x>0.48019</cdr:x>
      <cdr:y>0.13148</cdr:y>
    </cdr:to>
    <cdr:sp macro="" textlink="">
      <cdr:nvSpPr>
        <cdr:cNvPr id="24" name="テキスト ボックス 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55382" y="278998"/>
          <a:ext cx="378658" cy="22041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50999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揺れ</a:t>
          </a:r>
        </a:p>
      </cdr:txBody>
    </cdr:sp>
  </cdr:relSizeAnchor>
  <cdr:relSizeAnchor xmlns:cdr="http://schemas.openxmlformats.org/drawingml/2006/chartDrawing">
    <cdr:from>
      <cdr:x>0.73111</cdr:x>
      <cdr:y>0.07731</cdr:y>
    </cdr:from>
    <cdr:to>
      <cdr:x>0.83797</cdr:x>
      <cdr:y>0.13534</cdr:y>
    </cdr:to>
    <cdr:sp macro="" textlink="">
      <cdr:nvSpPr>
        <cdr:cNvPr id="25" name="テキスト ボックス 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10440" y="293659"/>
          <a:ext cx="586171" cy="22041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50999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突上げ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0.8216</cdr:x>
      <cdr:y>0.27343</cdr:y>
    </cdr:from>
    <cdr:to>
      <cdr:x>0.8216</cdr:x>
      <cdr:y>0.36195</cdr:y>
    </cdr:to>
    <cdr:cxnSp macro="">
      <cdr:nvCxnSpPr>
        <cdr:cNvPr id="708610" name="直線矢印コネクタ 1"/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V="1">
          <a:off x="4515450" y="1054791"/>
          <a:ext cx="0" cy="341477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0.8216</cdr:x>
      <cdr:y>0.40169</cdr:y>
    </cdr:from>
    <cdr:to>
      <cdr:x>0.8216</cdr:x>
      <cdr:y>0.48484</cdr:y>
    </cdr:to>
    <cdr:cxnSp macro="">
      <cdr:nvCxnSpPr>
        <cdr:cNvPr id="708611" name="直線矢印コネクタ 2"/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>
          <a:off x="4515450" y="1549570"/>
          <a:ext cx="0" cy="320761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arrow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0.78917</cdr:x>
      <cdr:y>0.20077</cdr:y>
    </cdr:from>
    <cdr:to>
      <cdr:x>0.8582</cdr:x>
      <cdr:y>0.2588</cdr:y>
    </cdr:to>
    <cdr:sp macro="" textlink="">
      <cdr:nvSpPr>
        <cdr:cNvPr id="708612" name="テキスト ボックス 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7217" y="774496"/>
          <a:ext cx="379384" cy="2238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50999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悪化</a:t>
          </a:r>
        </a:p>
      </cdr:txBody>
    </cdr:sp>
  </cdr:relSizeAnchor>
  <cdr:relSizeAnchor xmlns:cdr="http://schemas.openxmlformats.org/drawingml/2006/chartDrawing">
    <cdr:from>
      <cdr:x>0.78917</cdr:x>
      <cdr:y>0.49703</cdr:y>
    </cdr:from>
    <cdr:to>
      <cdr:x>0.8614</cdr:x>
      <cdr:y>0.56336</cdr:y>
    </cdr:to>
    <cdr:sp macro="" textlink="">
      <cdr:nvSpPr>
        <cdr:cNvPr id="708613" name="テキスト ボックス 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7217" y="1917356"/>
          <a:ext cx="396971" cy="25587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5000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改善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533400</xdr:colOff>
      <xdr:row>0</xdr:row>
      <xdr:rowOff>0</xdr:rowOff>
    </xdr:from>
    <xdr:to>
      <xdr:col>13</xdr:col>
      <xdr:colOff>838200</xdr:colOff>
      <xdr:row>0</xdr:row>
      <xdr:rowOff>0</xdr:rowOff>
    </xdr:to>
    <xdr:sp macro="" textlink="">
      <xdr:nvSpPr>
        <xdr:cNvPr id="15392" name="Text Box 32"/>
        <xdr:cNvSpPr txBox="1">
          <a:spLocks noChangeArrowheads="1"/>
        </xdr:cNvSpPr>
      </xdr:nvSpPr>
      <xdr:spPr bwMode="auto">
        <a:xfrm>
          <a:off x="10763250" y="0"/>
          <a:ext cx="304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x2</a:t>
          </a:r>
        </a:p>
      </xdr:txBody>
    </xdr:sp>
    <xdr:clientData/>
  </xdr:twoCellAnchor>
  <xdr:twoCellAnchor>
    <xdr:from>
      <xdr:col>1</xdr:col>
      <xdr:colOff>19050</xdr:colOff>
      <xdr:row>118</xdr:row>
      <xdr:rowOff>19050</xdr:rowOff>
    </xdr:from>
    <xdr:to>
      <xdr:col>5</xdr:col>
      <xdr:colOff>581025</xdr:colOff>
      <xdr:row>135</xdr:row>
      <xdr:rowOff>114300</xdr:rowOff>
    </xdr:to>
    <xdr:graphicFrame macro="">
      <xdr:nvGraphicFramePr>
        <xdr:cNvPr id="16339" name="グラフ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161925</xdr:colOff>
      <xdr:row>192</xdr:row>
      <xdr:rowOff>28575</xdr:rowOff>
    </xdr:from>
    <xdr:to>
      <xdr:col>10</xdr:col>
      <xdr:colOff>9525</xdr:colOff>
      <xdr:row>209</xdr:row>
      <xdr:rowOff>28575</xdr:rowOff>
    </xdr:to>
    <xdr:graphicFrame macro="">
      <xdr:nvGraphicFramePr>
        <xdr:cNvPr id="16340" name="グラフ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0.5044</cdr:x>
      <cdr:y>0.24487</cdr:y>
    </cdr:from>
    <cdr:to>
      <cdr:x>0.7454</cdr:x>
      <cdr:y>0.33628</cdr:y>
    </cdr:to>
    <cdr:sp macro="" textlink="">
      <cdr:nvSpPr>
        <cdr:cNvPr id="2048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5549" y="716883"/>
          <a:ext cx="1028385" cy="26643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空気圧 +20kPa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stlab.ssi.ist.hokudai.ac.jp/yuhyama/lecture/mechatronics/%E3%83%A1%E3%82%AB%E3%83%88%E3%83%AD%E3%83%8B%E3%82%AF%E3%82%B9%E5%9F%BA%E7%A4%8E(%E5%B1%B1%E4%B8%8B).pdf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yacmo.co.jp/Portals/0/images/catlog/pdf/0302.pdf" TargetMode="External"/><Relationship Id="rId1" Type="http://schemas.openxmlformats.org/officeDocument/2006/relationships/hyperlink" Target="https://dskjal.com/car/damper-setting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nirr.lib.niigata-u.ac.jp/bitstream/10623/28537/1/kadomatsu_65(7)_19-23.pdf" TargetMode="External"/><Relationship Id="rId4" Type="http://schemas.openxmlformats.org/officeDocument/2006/relationships/hyperlink" Target="http://banemasu.blogspot.com/2014/11/2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2"/>
  <sheetViews>
    <sheetView tabSelected="1" zoomScale="130" zoomScaleNormal="130" workbookViewId="0"/>
  </sheetViews>
  <sheetFormatPr defaultRowHeight="13.5" x14ac:dyDescent="0.15"/>
  <cols>
    <col min="1" max="1" width="12.625" customWidth="1"/>
    <col min="2" max="2" width="10.125" customWidth="1"/>
    <col min="3" max="3" width="15.25" customWidth="1"/>
    <col min="4" max="4" width="15.125" customWidth="1"/>
    <col min="5" max="5" width="16.625" customWidth="1"/>
    <col min="6" max="6" width="13" customWidth="1"/>
    <col min="7" max="7" width="12.5" customWidth="1"/>
    <col min="8" max="8" width="11.375" bestFit="1" customWidth="1"/>
    <col min="9" max="9" width="15" bestFit="1" customWidth="1"/>
    <col min="10" max="11" width="9.875" bestFit="1" customWidth="1"/>
    <col min="12" max="12" width="11" bestFit="1" customWidth="1"/>
    <col min="13" max="17" width="9.875" bestFit="1" customWidth="1"/>
    <col min="18" max="18" width="9.875" customWidth="1"/>
    <col min="20" max="20" width="10" bestFit="1" customWidth="1"/>
    <col min="21" max="25" width="9.875" bestFit="1" customWidth="1"/>
    <col min="27" max="29" width="9.875" bestFit="1" customWidth="1"/>
    <col min="30" max="30" width="11.125" customWidth="1"/>
    <col min="31" max="32" width="9.875" bestFit="1" customWidth="1"/>
  </cols>
  <sheetData>
    <row r="1" spans="1:12" x14ac:dyDescent="0.15">
      <c r="A1" s="9" t="s">
        <v>310</v>
      </c>
    </row>
    <row r="2" spans="1:12" x14ac:dyDescent="0.15">
      <c r="A2" s="94">
        <v>38757</v>
      </c>
      <c r="B2" s="92" t="s">
        <v>302</v>
      </c>
      <c r="C2" s="92"/>
    </row>
    <row r="3" spans="1:12" x14ac:dyDescent="0.15">
      <c r="A3" s="94">
        <v>43739</v>
      </c>
      <c r="B3" s="92" t="s">
        <v>301</v>
      </c>
      <c r="C3" s="92"/>
      <c r="F3" s="92" t="s">
        <v>278</v>
      </c>
      <c r="G3" s="92"/>
      <c r="H3" s="92"/>
      <c r="I3" s="92"/>
      <c r="J3" s="92"/>
      <c r="K3" s="92"/>
      <c r="L3" s="92"/>
    </row>
    <row r="4" spans="1:12" x14ac:dyDescent="0.15">
      <c r="F4" s="92"/>
      <c r="G4" s="92" t="s">
        <v>320</v>
      </c>
      <c r="H4" s="92"/>
      <c r="I4" s="92"/>
      <c r="J4" s="92"/>
      <c r="K4" s="92"/>
      <c r="L4" s="92"/>
    </row>
    <row r="5" spans="1:12" x14ac:dyDescent="0.15">
      <c r="F5" s="92"/>
      <c r="G5" s="96" t="s">
        <v>318</v>
      </c>
      <c r="H5" s="92"/>
      <c r="I5" s="92"/>
      <c r="J5" s="92"/>
      <c r="K5" s="92"/>
      <c r="L5" s="92"/>
    </row>
    <row r="6" spans="1:12" x14ac:dyDescent="0.15">
      <c r="F6" s="92"/>
      <c r="G6" s="96" t="s">
        <v>317</v>
      </c>
      <c r="H6" s="92"/>
      <c r="I6" s="92"/>
      <c r="J6" s="92"/>
      <c r="K6" s="92"/>
      <c r="L6" s="92"/>
    </row>
    <row r="7" spans="1:12" x14ac:dyDescent="0.15">
      <c r="F7" s="92"/>
      <c r="G7" s="92" t="s">
        <v>321</v>
      </c>
      <c r="H7" s="92"/>
      <c r="I7" s="92"/>
      <c r="J7" s="92"/>
      <c r="K7" s="92"/>
      <c r="L7" s="92"/>
    </row>
    <row r="8" spans="1:12" x14ac:dyDescent="0.15">
      <c r="F8" s="92"/>
      <c r="G8" s="96" t="s">
        <v>316</v>
      </c>
      <c r="H8" s="92"/>
      <c r="I8" s="92"/>
      <c r="J8" s="92"/>
      <c r="K8" s="92"/>
      <c r="L8" s="92"/>
    </row>
    <row r="9" spans="1:12" x14ac:dyDescent="0.15">
      <c r="F9" s="92"/>
      <c r="G9" s="96" t="s">
        <v>315</v>
      </c>
      <c r="H9" s="92"/>
      <c r="I9" s="92"/>
      <c r="J9" s="92"/>
      <c r="K9" s="92"/>
      <c r="L9" s="92"/>
    </row>
    <row r="10" spans="1:12" x14ac:dyDescent="0.15">
      <c r="F10" s="92"/>
      <c r="G10" s="96" t="s">
        <v>314</v>
      </c>
      <c r="J10" s="92"/>
      <c r="K10" s="92"/>
      <c r="L10" s="92"/>
    </row>
    <row r="11" spans="1:12" x14ac:dyDescent="0.15">
      <c r="F11" s="92"/>
      <c r="G11" s="92" t="s">
        <v>322</v>
      </c>
      <c r="J11" s="92"/>
      <c r="K11" s="92"/>
      <c r="L11" s="92"/>
    </row>
    <row r="12" spans="1:12" x14ac:dyDescent="0.15">
      <c r="F12" s="92" t="s">
        <v>307</v>
      </c>
      <c r="G12" s="92"/>
      <c r="H12" s="92"/>
      <c r="I12" s="92"/>
      <c r="J12" s="92"/>
      <c r="K12" s="92"/>
      <c r="L12" s="92"/>
    </row>
    <row r="13" spans="1:12" x14ac:dyDescent="0.15">
      <c r="F13" s="92"/>
      <c r="G13" s="92" t="s">
        <v>283</v>
      </c>
      <c r="H13" s="92"/>
      <c r="I13" s="92"/>
      <c r="J13" s="92"/>
      <c r="K13" s="92"/>
      <c r="L13" s="92"/>
    </row>
    <row r="14" spans="1:12" x14ac:dyDescent="0.15">
      <c r="F14" s="92"/>
      <c r="G14" s="92" t="s">
        <v>304</v>
      </c>
      <c r="H14" s="92"/>
      <c r="I14" s="92"/>
      <c r="J14" s="93"/>
      <c r="K14" s="92"/>
      <c r="L14" s="92"/>
    </row>
    <row r="15" spans="1:12" x14ac:dyDescent="0.15">
      <c r="F15" s="92"/>
      <c r="G15" s="92" t="s">
        <v>305</v>
      </c>
      <c r="H15" s="92"/>
      <c r="I15" s="92"/>
      <c r="J15" s="92"/>
      <c r="K15" s="92"/>
      <c r="L15" s="92"/>
    </row>
    <row r="16" spans="1:12" x14ac:dyDescent="0.15">
      <c r="F16" s="92"/>
      <c r="G16" s="92" t="s">
        <v>306</v>
      </c>
      <c r="H16" s="93"/>
      <c r="I16" s="92"/>
      <c r="J16" s="92"/>
      <c r="K16" s="92"/>
      <c r="L16" s="92"/>
    </row>
    <row r="17" spans="1:12" x14ac:dyDescent="0.15">
      <c r="F17" s="92"/>
      <c r="G17" s="92" t="s">
        <v>294</v>
      </c>
      <c r="H17" s="92"/>
      <c r="I17" s="92"/>
      <c r="J17" s="93"/>
      <c r="K17" s="92"/>
      <c r="L17" s="92"/>
    </row>
    <row r="18" spans="1:12" x14ac:dyDescent="0.15">
      <c r="F18" s="92"/>
      <c r="G18" s="92" t="s">
        <v>296</v>
      </c>
      <c r="H18" s="92"/>
      <c r="I18" s="92"/>
      <c r="J18" s="92"/>
      <c r="K18" s="92"/>
      <c r="L18" s="92"/>
    </row>
    <row r="19" spans="1:12" x14ac:dyDescent="0.15">
      <c r="F19" s="92"/>
      <c r="G19" s="92" t="s">
        <v>295</v>
      </c>
      <c r="H19" s="93"/>
      <c r="I19" s="92"/>
      <c r="J19" s="92"/>
      <c r="K19" s="92"/>
      <c r="L19" s="92"/>
    </row>
    <row r="20" spans="1:12" x14ac:dyDescent="0.15">
      <c r="F20" s="92"/>
      <c r="G20" s="92" t="s">
        <v>297</v>
      </c>
      <c r="H20" s="92"/>
      <c r="I20" s="92"/>
      <c r="J20" s="92"/>
      <c r="K20" s="92"/>
      <c r="L20" s="92"/>
    </row>
    <row r="21" spans="1:12" x14ac:dyDescent="0.15">
      <c r="F21" s="92"/>
      <c r="G21" s="92" t="s">
        <v>298</v>
      </c>
      <c r="H21" s="92"/>
      <c r="I21" s="92"/>
      <c r="J21" s="92"/>
      <c r="K21" s="92"/>
      <c r="L21" s="92"/>
    </row>
    <row r="22" spans="1:12" x14ac:dyDescent="0.15">
      <c r="F22" s="92"/>
      <c r="G22" s="92" t="s">
        <v>299</v>
      </c>
      <c r="H22" s="92"/>
      <c r="I22" s="92"/>
      <c r="J22" s="92"/>
      <c r="K22" s="92"/>
      <c r="L22" s="92"/>
    </row>
    <row r="23" spans="1:12" x14ac:dyDescent="0.15">
      <c r="F23" s="92"/>
      <c r="G23" s="92" t="s">
        <v>300</v>
      </c>
      <c r="H23" s="92"/>
      <c r="I23" s="92"/>
      <c r="J23" s="92"/>
      <c r="K23" s="92"/>
      <c r="L23" s="92"/>
    </row>
    <row r="24" spans="1:12" x14ac:dyDescent="0.15">
      <c r="F24" s="92"/>
      <c r="G24" s="92" t="s">
        <v>287</v>
      </c>
      <c r="H24" s="92"/>
      <c r="I24" s="92" t="s">
        <v>292</v>
      </c>
      <c r="J24" s="92"/>
      <c r="K24" s="92"/>
      <c r="L24" s="92"/>
    </row>
    <row r="25" spans="1:12" x14ac:dyDescent="0.15">
      <c r="F25" s="92"/>
      <c r="G25" s="92" t="s">
        <v>288</v>
      </c>
      <c r="H25" s="92"/>
      <c r="I25" s="92" t="s">
        <v>293</v>
      </c>
      <c r="J25" s="92"/>
      <c r="K25" s="92"/>
      <c r="L25" s="92"/>
    </row>
    <row r="26" spans="1:12" x14ac:dyDescent="0.15">
      <c r="F26" s="92"/>
      <c r="G26" s="92" t="s">
        <v>291</v>
      </c>
      <c r="H26" s="92"/>
      <c r="I26" s="92"/>
      <c r="J26" s="92"/>
      <c r="K26" s="92"/>
      <c r="L26" s="92"/>
    </row>
    <row r="27" spans="1:12" x14ac:dyDescent="0.15">
      <c r="F27" s="92"/>
      <c r="G27" s="92" t="s">
        <v>289</v>
      </c>
      <c r="H27" s="92"/>
      <c r="I27" s="92"/>
      <c r="J27" s="92"/>
      <c r="K27" s="92"/>
      <c r="L27" s="92"/>
    </row>
    <row r="28" spans="1:12" x14ac:dyDescent="0.15">
      <c r="F28" s="92"/>
      <c r="G28" s="92" t="s">
        <v>290</v>
      </c>
      <c r="H28" s="92"/>
      <c r="I28" s="92"/>
    </row>
    <row r="30" spans="1:12" x14ac:dyDescent="0.15">
      <c r="H30" t="s">
        <v>260</v>
      </c>
      <c r="I30" t="s">
        <v>260</v>
      </c>
    </row>
    <row r="31" spans="1:12" ht="14.25" thickBot="1" x14ac:dyDescent="0.2">
      <c r="A31" s="69" t="s">
        <v>309</v>
      </c>
      <c r="B31" s="69" t="s">
        <v>308</v>
      </c>
      <c r="C31" s="69" t="s">
        <v>312</v>
      </c>
      <c r="D31" s="70" t="s">
        <v>27</v>
      </c>
      <c r="E31" s="71" t="s">
        <v>28</v>
      </c>
      <c r="F31" s="71" t="s">
        <v>29</v>
      </c>
      <c r="G31" s="70" t="s">
        <v>30</v>
      </c>
      <c r="H31" s="69" t="s">
        <v>258</v>
      </c>
      <c r="I31" s="69" t="s">
        <v>257</v>
      </c>
    </row>
    <row r="32" spans="1:12" ht="14.25" thickTop="1" x14ac:dyDescent="0.15">
      <c r="A32" t="s">
        <v>261</v>
      </c>
      <c r="B32" t="s">
        <v>31</v>
      </c>
      <c r="C32" t="s">
        <v>25</v>
      </c>
      <c r="D32" s="85">
        <v>300</v>
      </c>
      <c r="E32" s="4">
        <f>D32</f>
        <v>300</v>
      </c>
      <c r="F32" s="4">
        <f>E32</f>
        <v>300</v>
      </c>
      <c r="G32" s="4">
        <f>F32</f>
        <v>300</v>
      </c>
      <c r="H32" s="4">
        <f>G32</f>
        <v>300</v>
      </c>
      <c r="I32" s="4">
        <f>H32</f>
        <v>300</v>
      </c>
    </row>
    <row r="33" spans="1:10" x14ac:dyDescent="0.15">
      <c r="A33" t="s">
        <v>262</v>
      </c>
      <c r="B33" t="s">
        <v>32</v>
      </c>
      <c r="C33" t="s">
        <v>25</v>
      </c>
      <c r="D33" s="85">
        <v>20</v>
      </c>
      <c r="E33" s="78">
        <f>D33/2</f>
        <v>10</v>
      </c>
      <c r="F33" s="4">
        <f>D33</f>
        <v>20</v>
      </c>
      <c r="G33" s="4">
        <f>D33</f>
        <v>20</v>
      </c>
      <c r="H33" s="78">
        <f>D33/2</f>
        <v>10</v>
      </c>
      <c r="I33" s="78">
        <f>D33*2</f>
        <v>40</v>
      </c>
    </row>
    <row r="34" spans="1:10" x14ac:dyDescent="0.15">
      <c r="A34" t="s">
        <v>263</v>
      </c>
      <c r="B34" t="s">
        <v>33</v>
      </c>
      <c r="C34" t="s">
        <v>34</v>
      </c>
      <c r="D34" s="86">
        <v>20000</v>
      </c>
      <c r="E34" s="21">
        <v>20000</v>
      </c>
      <c r="F34" s="21">
        <v>20000</v>
      </c>
      <c r="G34" s="79">
        <f>D34/2</f>
        <v>10000</v>
      </c>
      <c r="H34" s="21">
        <f>D34</f>
        <v>20000</v>
      </c>
      <c r="I34" s="21">
        <f>E34</f>
        <v>20000</v>
      </c>
    </row>
    <row r="35" spans="1:10" x14ac:dyDescent="0.15">
      <c r="A35" t="s">
        <v>264</v>
      </c>
      <c r="B35" t="s">
        <v>35</v>
      </c>
      <c r="C35" t="s">
        <v>34</v>
      </c>
      <c r="D35" s="86">
        <v>200000</v>
      </c>
      <c r="E35" s="21">
        <f>D35</f>
        <v>200000</v>
      </c>
      <c r="F35" s="79">
        <f>D35/2</f>
        <v>100000</v>
      </c>
      <c r="G35" s="21">
        <f>D35</f>
        <v>200000</v>
      </c>
      <c r="H35" s="79">
        <f>D35/2</f>
        <v>100000</v>
      </c>
      <c r="I35" s="79">
        <f>H35</f>
        <v>100000</v>
      </c>
    </row>
    <row r="36" spans="1:10" x14ac:dyDescent="0.15">
      <c r="A36" t="s">
        <v>280</v>
      </c>
      <c r="B36" t="s">
        <v>265</v>
      </c>
      <c r="C36" t="s">
        <v>99</v>
      </c>
      <c r="D36" s="85">
        <v>0.05</v>
      </c>
      <c r="E36" s="4">
        <f>D36</f>
        <v>0.05</v>
      </c>
      <c r="F36" s="4">
        <f>E36</f>
        <v>0.05</v>
      </c>
      <c r="G36" s="4">
        <f>F36</f>
        <v>0.05</v>
      </c>
      <c r="H36" s="4">
        <f>G36</f>
        <v>0.05</v>
      </c>
      <c r="I36" s="4">
        <f>H36</f>
        <v>0.05</v>
      </c>
    </row>
    <row r="37" spans="1:10" x14ac:dyDescent="0.15">
      <c r="A37" t="s">
        <v>271</v>
      </c>
      <c r="B37" t="s">
        <v>268</v>
      </c>
      <c r="C37" t="s">
        <v>270</v>
      </c>
      <c r="D37" s="85">
        <v>600</v>
      </c>
      <c r="E37" s="4">
        <f>D37</f>
        <v>600</v>
      </c>
      <c r="F37" s="4">
        <f t="shared" ref="F37:I38" si="0">E37</f>
        <v>600</v>
      </c>
      <c r="G37" s="4">
        <f t="shared" si="0"/>
        <v>600</v>
      </c>
      <c r="H37" s="4">
        <f t="shared" si="0"/>
        <v>600</v>
      </c>
      <c r="I37" s="4">
        <f t="shared" si="0"/>
        <v>600</v>
      </c>
    </row>
    <row r="38" spans="1:10" ht="13.5" customHeight="1" x14ac:dyDescent="0.15">
      <c r="A38" t="s">
        <v>272</v>
      </c>
      <c r="B38" t="s">
        <v>269</v>
      </c>
      <c r="C38" t="s">
        <v>270</v>
      </c>
      <c r="D38" s="85">
        <v>400</v>
      </c>
      <c r="E38" s="4">
        <f>D38</f>
        <v>400</v>
      </c>
      <c r="F38" s="4">
        <f t="shared" si="0"/>
        <v>400</v>
      </c>
      <c r="G38" s="4">
        <f t="shared" si="0"/>
        <v>400</v>
      </c>
      <c r="H38" s="4">
        <f t="shared" si="0"/>
        <v>400</v>
      </c>
      <c r="I38" s="4">
        <f t="shared" si="0"/>
        <v>400</v>
      </c>
    </row>
    <row r="39" spans="1:10" ht="13.5" customHeight="1" x14ac:dyDescent="0.15">
      <c r="A39" t="s">
        <v>275</v>
      </c>
      <c r="B39" t="s">
        <v>274</v>
      </c>
      <c r="C39" s="95" t="s">
        <v>311</v>
      </c>
      <c r="D39" s="75">
        <f t="shared" ref="D39:I39" si="1">D$37/(2*SQRT(D$32*D$34))</f>
        <v>0.12247448713915891</v>
      </c>
      <c r="E39" s="75">
        <f t="shared" si="1"/>
        <v>0.12247448713915891</v>
      </c>
      <c r="F39" s="75">
        <f t="shared" si="1"/>
        <v>0.12247448713915891</v>
      </c>
      <c r="G39" s="75">
        <f t="shared" si="1"/>
        <v>0.17320508075688773</v>
      </c>
      <c r="H39" s="75">
        <f t="shared" si="1"/>
        <v>0.12247448713915891</v>
      </c>
      <c r="I39" s="75">
        <f t="shared" si="1"/>
        <v>0.12247448713915891</v>
      </c>
    </row>
    <row r="40" spans="1:10" ht="13.5" customHeight="1" x14ac:dyDescent="0.15">
      <c r="A40" t="s">
        <v>276</v>
      </c>
      <c r="B40" t="s">
        <v>273</v>
      </c>
      <c r="C40" s="95" t="s">
        <v>313</v>
      </c>
      <c r="D40" s="75">
        <f t="shared" ref="D40:I40" si="2">D$38/(2*SQRT(D$33*D$35))</f>
        <v>0.1</v>
      </c>
      <c r="E40" s="75">
        <f t="shared" si="2"/>
        <v>0.1414213562373095</v>
      </c>
      <c r="F40" s="75">
        <f t="shared" si="2"/>
        <v>0.1414213562373095</v>
      </c>
      <c r="G40" s="75">
        <f t="shared" si="2"/>
        <v>0.1</v>
      </c>
      <c r="H40" s="75">
        <f t="shared" si="2"/>
        <v>0.2</v>
      </c>
      <c r="I40" s="75">
        <f t="shared" si="2"/>
        <v>0.1</v>
      </c>
    </row>
    <row r="41" spans="1:10" ht="13.5" customHeight="1" x14ac:dyDescent="0.15">
      <c r="B41" t="s">
        <v>319</v>
      </c>
    </row>
    <row r="42" spans="1:10" ht="13.5" customHeight="1" x14ac:dyDescent="0.15">
      <c r="B42" t="s">
        <v>303</v>
      </c>
    </row>
    <row r="43" spans="1:10" ht="13.5" customHeight="1" x14ac:dyDescent="0.15">
      <c r="B43" t="s">
        <v>277</v>
      </c>
    </row>
    <row r="44" spans="1:10" ht="13.5" customHeight="1" x14ac:dyDescent="0.15"/>
    <row r="45" spans="1:10" ht="13.5" customHeight="1" x14ac:dyDescent="0.15"/>
    <row r="46" spans="1:10" ht="13.5" customHeight="1" x14ac:dyDescent="0.15"/>
    <row r="47" spans="1:10" ht="13.5" customHeight="1" x14ac:dyDescent="0.15">
      <c r="J47" s="83"/>
    </row>
    <row r="48" spans="1:10" ht="13.5" customHeight="1" x14ac:dyDescent="0.15"/>
    <row r="49" spans="1:67" ht="13.5" customHeight="1" x14ac:dyDescent="0.15"/>
    <row r="50" spans="1:67" ht="13.5" customHeight="1" x14ac:dyDescent="0.15"/>
    <row r="51" spans="1:67" ht="13.5" customHeight="1" x14ac:dyDescent="0.15"/>
    <row r="52" spans="1:67" ht="13.5" customHeight="1" x14ac:dyDescent="0.15">
      <c r="AB52" s="83"/>
      <c r="AC52" s="83"/>
      <c r="AD52" s="22"/>
      <c r="AE52" s="83"/>
      <c r="AF52" s="83"/>
      <c r="AG52" s="22"/>
    </row>
    <row r="53" spans="1:67" ht="13.5" customHeight="1" x14ac:dyDescent="0.15">
      <c r="H53" s="8"/>
      <c r="P53" s="3"/>
      <c r="Q53" s="3"/>
      <c r="R53" s="3"/>
      <c r="S53" s="3"/>
    </row>
    <row r="54" spans="1:67" ht="13.5" customHeight="1" x14ac:dyDescent="0.15">
      <c r="A54" s="9" t="s">
        <v>281</v>
      </c>
      <c r="B54" s="72"/>
      <c r="F54" s="67" t="str">
        <f>H30</f>
        <v>タイヤバネ1/2</v>
      </c>
      <c r="G54" s="67" t="str">
        <f>I30</f>
        <v>タイヤバネ1/2</v>
      </c>
      <c r="K54" s="9" t="s">
        <v>279</v>
      </c>
      <c r="P54" s="67" t="str">
        <f>H30</f>
        <v>タイヤバネ1/2</v>
      </c>
      <c r="Q54" s="67" t="str">
        <f>I30</f>
        <v>タイヤバネ1/2</v>
      </c>
      <c r="R54" s="67"/>
      <c r="S54" s="3"/>
      <c r="T54" s="9" t="s">
        <v>256</v>
      </c>
      <c r="X54" s="5"/>
      <c r="AA54" t="str">
        <f>L55</f>
        <v>標準</v>
      </c>
      <c r="AH54" t="str">
        <f>M55</f>
        <v>ホイール質量1/2</v>
      </c>
      <c r="AO54" t="str">
        <f>N55</f>
        <v>タイヤばね1/2</v>
      </c>
      <c r="AV54" t="str">
        <f>O55</f>
        <v>サスばね1/2</v>
      </c>
      <c r="BC54" t="str">
        <f>P55</f>
        <v>ホイール質量1/2倍</v>
      </c>
      <c r="BJ54" t="str">
        <f>Q55</f>
        <v>ホイール質量2倍</v>
      </c>
    </row>
    <row r="55" spans="1:67" ht="13.5" customHeight="1" thickBot="1" x14ac:dyDescent="0.2">
      <c r="A55" s="70" t="s">
        <v>108</v>
      </c>
      <c r="B55" s="70" t="str">
        <f>D31</f>
        <v>標準</v>
      </c>
      <c r="C55" s="70" t="str">
        <f>E31</f>
        <v>ホイール質量1/2</v>
      </c>
      <c r="D55" s="70" t="str">
        <f>F31</f>
        <v>タイヤばね1/2</v>
      </c>
      <c r="E55" s="70" t="str">
        <f>G31</f>
        <v>サスばね1/2</v>
      </c>
      <c r="F55" s="70" t="str">
        <f>H31</f>
        <v>ホイール質量1/2倍</v>
      </c>
      <c r="G55" s="70" t="str">
        <f>I31</f>
        <v>ホイール質量2倍</v>
      </c>
      <c r="H55" t="s">
        <v>282</v>
      </c>
      <c r="K55" s="70" t="s">
        <v>36</v>
      </c>
      <c r="L55" s="70" t="str">
        <f>D31</f>
        <v>標準</v>
      </c>
      <c r="M55" s="70" t="str">
        <f>E31</f>
        <v>ホイール質量1/2</v>
      </c>
      <c r="N55" s="70" t="str">
        <f>F31</f>
        <v>タイヤばね1/2</v>
      </c>
      <c r="O55" s="70" t="str">
        <f>G31</f>
        <v>サスばね1/2</v>
      </c>
      <c r="P55" s="70" t="str">
        <f>H31</f>
        <v>ホイール質量1/2倍</v>
      </c>
      <c r="Q55" s="70" t="str">
        <f>I31</f>
        <v>ホイール質量2倍</v>
      </c>
      <c r="R55" s="67"/>
      <c r="S55" s="22" t="str">
        <f>K55</f>
        <v>ω</v>
      </c>
      <c r="T55" s="22" t="str">
        <f t="shared" ref="T55:Y55" si="3">L55</f>
        <v>標準</v>
      </c>
      <c r="U55" s="22" t="str">
        <f t="shared" si="3"/>
        <v>ホイール質量1/2</v>
      </c>
      <c r="V55" s="22" t="str">
        <f t="shared" si="3"/>
        <v>タイヤばね1/2</v>
      </c>
      <c r="W55" s="22" t="str">
        <f t="shared" si="3"/>
        <v>サスばね1/2</v>
      </c>
      <c r="X55" s="22" t="str">
        <f t="shared" si="3"/>
        <v>ホイール質量1/2倍</v>
      </c>
      <c r="Y55" s="22" t="str">
        <f t="shared" si="3"/>
        <v>ホイール質量2倍</v>
      </c>
      <c r="AA55" t="s">
        <v>168</v>
      </c>
      <c r="AB55" t="s">
        <v>266</v>
      </c>
      <c r="AC55" t="s">
        <v>284</v>
      </c>
      <c r="AD55" t="s">
        <v>285</v>
      </c>
      <c r="AE55" t="s">
        <v>286</v>
      </c>
      <c r="AF55" t="s">
        <v>206</v>
      </c>
      <c r="AH55" t="s">
        <v>168</v>
      </c>
      <c r="AI55" t="s">
        <v>266</v>
      </c>
      <c r="AJ55" t="s">
        <v>284</v>
      </c>
      <c r="AK55" t="s">
        <v>285</v>
      </c>
      <c r="AL55" t="s">
        <v>286</v>
      </c>
      <c r="AM55" t="s">
        <v>206</v>
      </c>
      <c r="AO55" t="s">
        <v>168</v>
      </c>
      <c r="AP55" t="s">
        <v>266</v>
      </c>
      <c r="AQ55" t="s">
        <v>284</v>
      </c>
      <c r="AR55" t="s">
        <v>285</v>
      </c>
      <c r="AS55" t="s">
        <v>286</v>
      </c>
      <c r="AT55" t="s">
        <v>206</v>
      </c>
      <c r="AV55" t="s">
        <v>168</v>
      </c>
      <c r="AW55" t="s">
        <v>266</v>
      </c>
      <c r="AX55" t="s">
        <v>284</v>
      </c>
      <c r="AY55" t="s">
        <v>285</v>
      </c>
      <c r="AZ55" t="s">
        <v>286</v>
      </c>
      <c r="BA55" t="s">
        <v>206</v>
      </c>
      <c r="BC55" t="s">
        <v>168</v>
      </c>
      <c r="BD55" t="s">
        <v>266</v>
      </c>
      <c r="BE55" t="s">
        <v>284</v>
      </c>
      <c r="BF55" t="s">
        <v>285</v>
      </c>
      <c r="BG55" t="s">
        <v>286</v>
      </c>
      <c r="BH55" t="s">
        <v>206</v>
      </c>
      <c r="BJ55" t="s">
        <v>168</v>
      </c>
      <c r="BK55" t="s">
        <v>266</v>
      </c>
      <c r="BL55" t="s">
        <v>284</v>
      </c>
      <c r="BM55" t="s">
        <v>285</v>
      </c>
      <c r="BN55" t="s">
        <v>286</v>
      </c>
      <c r="BO55" t="s">
        <v>206</v>
      </c>
    </row>
    <row r="56" spans="1:67" ht="14.25" thickTop="1" x14ac:dyDescent="0.15">
      <c r="A56" s="76">
        <v>0.1</v>
      </c>
      <c r="B56" s="75">
        <f t="shared" ref="B56:B87" si="4">D$36*L56*$K56^2</f>
        <v>1.9869374524908404E-2</v>
      </c>
      <c r="C56" s="75">
        <f t="shared" ref="C56:C87" si="5">E$36*M56*$K56^2</f>
        <v>1.986898207826799E-2</v>
      </c>
      <c r="D56" s="75">
        <f t="shared" ref="D56:D87" si="6">F$36*N56*$K56^2</f>
        <v>1.9882011082979406E-2</v>
      </c>
      <c r="E56" s="75">
        <f t="shared" ref="E56:E87" si="7">G$36*O56*$K56^2</f>
        <v>1.9988218079081226E-2</v>
      </c>
      <c r="F56" s="75">
        <f t="shared" ref="F56:F87" si="8">H$36*P56*$K56^2</f>
        <v>1.9881225210295971E-2</v>
      </c>
      <c r="G56" s="75">
        <f t="shared" ref="G56:G87" si="9">I$36*Q56*$K56^2</f>
        <v>1.9883583014746083E-2</v>
      </c>
      <c r="I56" s="75"/>
      <c r="K56" s="73">
        <f t="shared" ref="K56:K105" si="10">2*PI()*A56</f>
        <v>0.62831853071795862</v>
      </c>
      <c r="L56" s="82">
        <f t="shared" ref="L56:L87" si="11">ABS(SQRT((D$38^2*$K56^2+D$35^2)*(AE56^2+AF56^2)/((AA56*AD56+AB56*AC56-2*AE56*AF56)^2+(AB56*AD56+AE56^2-AF56^2-AA56*AC56)^2)))</f>
        <v>1.0065942725483161</v>
      </c>
      <c r="M56" s="82">
        <f t="shared" ref="M56:M87" si="12">ABS(SQRT((E$38^2*$K56^2+E$35^2)*(AL56^2+AM56^2)/((AH56*AK56+AI56*AJ56-2*AL56*AM56)^2+(AI56*AK56+AL56^2-AM56^2-AH56*AJ56)^2)))</f>
        <v>1.0065743909692546</v>
      </c>
      <c r="N56" s="82">
        <f t="shared" ref="N56:N87" si="13">ABS(SQRT((F$38^2*$K56^2+F$35^2)*(AS56^2+AT56^2)/((AO56*AR56+AP56*AQ56-2*AS56*AT56)^2+(AP56*AR56+AS56^2-AT56^2-AO56*AQ56)^2)))</f>
        <v>1.0072344480587756</v>
      </c>
      <c r="O56" s="82">
        <f t="shared" ref="O56:O87" si="14">ABS(SQRT((G$38^2*$K56^2+G$35^2)*(AZ56^2+BA56^2)/((AV56*AY56+AW56*AX56-2*AZ56*BA56)^2+(AW56*AY56+AZ56^2-BA56^2-AV56*AX56)^2)))</f>
        <v>1.0126149573368426</v>
      </c>
      <c r="P56" s="82">
        <f t="shared" ref="P56:P87" si="15">ABS(SQRT((H$38^2*$K56^2+H$35^2)*(BG56^2+BH56^2)/((BC56*BF56+BD56*BE56-2*BG56*BH56)^2+(BD56*BF56+BG56^2-BH56^2-BC56*BE56)^2)))</f>
        <v>1.0071946352835368</v>
      </c>
      <c r="Q56" s="82">
        <f t="shared" ref="Q56:Q87" si="16">ABS(SQRT((I$38^2*$K56^2+I$35^2)*(BN56^2+BO56^2)/((BJ56*BM56+BK56*BL56-2*BN56*BO56)^2+(BK56*BM56+BN56^2-BO56^2-BJ56*BL56)^2)))</f>
        <v>1.0073140830523779</v>
      </c>
      <c r="S56" s="22">
        <f>K56</f>
        <v>0.62831853071795862</v>
      </c>
      <c r="T56" s="22">
        <f t="shared" ref="T56:Y71" si="17">20*LOG10(L56)</f>
        <v>5.7089099252648545E-2</v>
      </c>
      <c r="U56" s="22">
        <f t="shared" si="17"/>
        <v>5.6917539656382313E-2</v>
      </c>
      <c r="V56" s="22">
        <f t="shared" si="17"/>
        <v>6.2611410026396808E-2</v>
      </c>
      <c r="W56" s="22">
        <f t="shared" si="17"/>
        <v>0.10888676125106794</v>
      </c>
      <c r="X56" s="22">
        <f t="shared" si="17"/>
        <v>6.226807764024949E-2</v>
      </c>
      <c r="Y56" s="22">
        <f t="shared" si="17"/>
        <v>6.3298115514436287E-2</v>
      </c>
      <c r="AA56" s="83">
        <f t="shared" ref="AA56:AA87" si="18">$S56*(D$38+D$37)</f>
        <v>628.31853071795865</v>
      </c>
      <c r="AB56" s="83">
        <f t="shared" ref="AB56:AB87" si="19">D$35+D$34-D$33*$K56^2</f>
        <v>219992.10431647912</v>
      </c>
      <c r="AC56" s="22">
        <f t="shared" ref="AC56:AC87" si="20">D$37*$K56</f>
        <v>376.99111843077515</v>
      </c>
      <c r="AD56" s="83">
        <f t="shared" ref="AD56:AD87" si="21">D$34-D$32*$K56^2</f>
        <v>19881.564747186927</v>
      </c>
      <c r="AE56" s="83">
        <f>AC56</f>
        <v>376.99111843077515</v>
      </c>
      <c r="AF56" s="22">
        <f t="shared" ref="AF56:AF87" si="22">D$34</f>
        <v>20000</v>
      </c>
      <c r="AH56" s="83">
        <f t="shared" ref="AH56:AH87" si="23">$S56*(E$38+E$37)</f>
        <v>628.31853071795865</v>
      </c>
      <c r="AI56" s="83">
        <f t="shared" ref="AI56:AI87" si="24">E$35+E$34-E$33*$K56^2</f>
        <v>219996.05215823956</v>
      </c>
      <c r="AJ56" s="22">
        <f t="shared" ref="AJ56:AJ87" si="25">E$37*$K56</f>
        <v>376.99111843077515</v>
      </c>
      <c r="AK56" s="83">
        <f t="shared" ref="AK56:AK87" si="26">E$34-E$32*$K56^2</f>
        <v>19881.564747186927</v>
      </c>
      <c r="AL56" s="83">
        <f>AJ56</f>
        <v>376.99111843077515</v>
      </c>
      <c r="AM56" s="22">
        <f t="shared" ref="AM56:AM87" si="27">E$34</f>
        <v>20000</v>
      </c>
      <c r="AN56" s="83"/>
      <c r="AO56" s="83">
        <f t="shared" ref="AO56:AO87" si="28">$S56*(F$38+F$37)</f>
        <v>628.31853071795865</v>
      </c>
      <c r="AP56" s="83">
        <f t="shared" ref="AP56:AP87" si="29">F$35+F$34-F$33*$K56^2</f>
        <v>119992.10431647913</v>
      </c>
      <c r="AQ56" s="22">
        <f t="shared" ref="AQ56:AQ87" si="30">F$37*$K56</f>
        <v>376.99111843077515</v>
      </c>
      <c r="AR56" s="83">
        <f t="shared" ref="AR56:AR87" si="31">F$34-F$32*$K56^2</f>
        <v>19881.564747186927</v>
      </c>
      <c r="AS56" s="83">
        <f>AQ56</f>
        <v>376.99111843077515</v>
      </c>
      <c r="AT56" s="22">
        <f t="shared" ref="AT56:AT87" si="32">F$34</f>
        <v>20000</v>
      </c>
      <c r="AU56" s="22"/>
      <c r="AV56" s="83">
        <f t="shared" ref="AV56:AV87" si="33">$S56*(G$38+G$37)</f>
        <v>628.31853071795865</v>
      </c>
      <c r="AW56" s="83">
        <f t="shared" ref="AW56:AW87" si="34">G$35+G$34-G$33*$K56^2</f>
        <v>209992.10431647912</v>
      </c>
      <c r="AX56" s="22">
        <f t="shared" ref="AX56:AX87" si="35">G$37*$K56</f>
        <v>376.99111843077515</v>
      </c>
      <c r="AY56" s="83">
        <f t="shared" ref="AY56:AY87" si="36">G$34-G$32*$K56^2</f>
        <v>9881.564747186927</v>
      </c>
      <c r="AZ56" s="83">
        <f>AX56</f>
        <v>376.99111843077515</v>
      </c>
      <c r="BA56" s="22">
        <f t="shared" ref="BA56:BA87" si="37">G$34</f>
        <v>10000</v>
      </c>
      <c r="BB56" s="83"/>
      <c r="BC56" s="83">
        <f t="shared" ref="BC56:BC87" si="38">$S56*(H$38+H$37)</f>
        <v>628.31853071795865</v>
      </c>
      <c r="BD56" s="83">
        <f t="shared" ref="BD56:BD87" si="39">H$35+H$34-H$33*$K56^2</f>
        <v>119996.05215823956</v>
      </c>
      <c r="BE56" s="22">
        <f t="shared" ref="BE56:BE87" si="40">H$37*$K56</f>
        <v>376.99111843077515</v>
      </c>
      <c r="BF56" s="83">
        <f t="shared" ref="BF56:BF87" si="41">H$34-H$32*$K56^2</f>
        <v>19881.564747186927</v>
      </c>
      <c r="BG56" s="83">
        <f>BE56</f>
        <v>376.99111843077515</v>
      </c>
      <c r="BH56" s="22">
        <f t="shared" ref="BH56:BH87" si="42">H$34</f>
        <v>20000</v>
      </c>
      <c r="BJ56" s="83">
        <f t="shared" ref="BJ56:BJ87" si="43">$S56*(I$38+I$37)</f>
        <v>628.31853071795865</v>
      </c>
      <c r="BK56" s="83">
        <f t="shared" ref="BK56:BK87" si="44">I$35+I$34-I$33*$K56^2</f>
        <v>119984.20863295825</v>
      </c>
      <c r="BL56" s="22">
        <f t="shared" ref="BL56:BL87" si="45">I$37*$K56</f>
        <v>376.99111843077515</v>
      </c>
      <c r="BM56" s="83">
        <f t="shared" ref="BM56:BM87" si="46">I$34-I$32*$K56^2</f>
        <v>19881.564747186927</v>
      </c>
      <c r="BN56" s="83">
        <f>BL56</f>
        <v>376.99111843077515</v>
      </c>
      <c r="BO56" s="22">
        <f t="shared" ref="BO56:BO87" si="47">I$34</f>
        <v>20000</v>
      </c>
    </row>
    <row r="57" spans="1:67" x14ac:dyDescent="0.15">
      <c r="A57" s="76">
        <f>A56*1.2</f>
        <v>0.12</v>
      </c>
      <c r="B57" s="75">
        <f t="shared" si="4"/>
        <v>2.8695114563805996E-2</v>
      </c>
      <c r="C57" s="75">
        <f t="shared" si="5"/>
        <v>2.8694298197176581E-2</v>
      </c>
      <c r="D57" s="75">
        <f t="shared" si="6"/>
        <v>2.8721473383903517E-2</v>
      </c>
      <c r="E57" s="75">
        <f t="shared" si="7"/>
        <v>2.8943361737960013E-2</v>
      </c>
      <c r="F57" s="75">
        <f t="shared" si="8"/>
        <v>2.8719837707470521E-2</v>
      </c>
      <c r="G57" s="75">
        <f t="shared" si="9"/>
        <v>2.87247452957692E-2</v>
      </c>
      <c r="K57" s="73">
        <f t="shared" si="10"/>
        <v>0.7539822368615503</v>
      </c>
      <c r="L57" s="82">
        <f t="shared" si="11"/>
        <v>1.0095218654018434</v>
      </c>
      <c r="M57" s="82">
        <f t="shared" si="12"/>
        <v>1.0094931448347675</v>
      </c>
      <c r="N57" s="82">
        <f t="shared" si="13"/>
        <v>1.0104491941697935</v>
      </c>
      <c r="O57" s="82">
        <f t="shared" si="14"/>
        <v>1.0182554409300206</v>
      </c>
      <c r="P57" s="82">
        <f t="shared" si="15"/>
        <v>1.0103916494919298</v>
      </c>
      <c r="Q57" s="82">
        <f t="shared" si="16"/>
        <v>1.01056430319167</v>
      </c>
      <c r="R57" s="82"/>
      <c r="S57" s="22">
        <f t="shared" ref="S57:S105" si="48">K57</f>
        <v>0.7539822368615503</v>
      </c>
      <c r="T57" s="22">
        <f t="shared" si="17"/>
        <v>8.2314596757628811E-2</v>
      </c>
      <c r="U57" s="22">
        <f t="shared" si="17"/>
        <v>8.2067482521512553E-2</v>
      </c>
      <c r="V57" s="22">
        <f t="shared" si="17"/>
        <v>9.0289637651708721E-2</v>
      </c>
      <c r="W57" s="22">
        <f t="shared" si="17"/>
        <v>0.15713478733004088</v>
      </c>
      <c r="X57" s="22">
        <f t="shared" si="17"/>
        <v>8.9794965621613279E-2</v>
      </c>
      <c r="Y57" s="22">
        <f t="shared" si="17"/>
        <v>9.1279066235685408E-2</v>
      </c>
      <c r="AA57" s="83">
        <f t="shared" si="18"/>
        <v>753.98223686155029</v>
      </c>
      <c r="AB57" s="83">
        <f t="shared" si="19"/>
        <v>219988.63021572994</v>
      </c>
      <c r="AC57" s="22">
        <f t="shared" si="20"/>
        <v>452.38934211693021</v>
      </c>
      <c r="AD57" s="83">
        <f t="shared" si="21"/>
        <v>19829.453235949175</v>
      </c>
      <c r="AE57" s="83">
        <f t="shared" ref="AE57:AE105" si="49">AC57</f>
        <v>452.38934211693021</v>
      </c>
      <c r="AF57" s="22">
        <f t="shared" si="22"/>
        <v>20000</v>
      </c>
      <c r="AG57" s="83"/>
      <c r="AH57" s="83">
        <f t="shared" si="23"/>
        <v>753.98223686155029</v>
      </c>
      <c r="AI57" s="83">
        <f t="shared" si="24"/>
        <v>219994.31510786497</v>
      </c>
      <c r="AJ57" s="22">
        <f t="shared" si="25"/>
        <v>452.38934211693021</v>
      </c>
      <c r="AK57" s="83">
        <f t="shared" si="26"/>
        <v>19829.453235949175</v>
      </c>
      <c r="AL57" s="83">
        <f t="shared" ref="AL57:AL105" si="50">AJ57</f>
        <v>452.38934211693021</v>
      </c>
      <c r="AM57" s="22">
        <f t="shared" si="27"/>
        <v>20000</v>
      </c>
      <c r="AN57" s="83"/>
      <c r="AO57" s="83">
        <f t="shared" si="28"/>
        <v>753.98223686155029</v>
      </c>
      <c r="AP57" s="83">
        <f t="shared" si="29"/>
        <v>119988.63021572995</v>
      </c>
      <c r="AQ57" s="22">
        <f t="shared" si="30"/>
        <v>452.38934211693021</v>
      </c>
      <c r="AR57" s="83">
        <f t="shared" si="31"/>
        <v>19829.453235949175</v>
      </c>
      <c r="AS57" s="83">
        <f t="shared" ref="AS57:AS105" si="51">AQ57</f>
        <v>452.38934211693021</v>
      </c>
      <c r="AT57" s="22">
        <f t="shared" si="32"/>
        <v>20000</v>
      </c>
      <c r="AU57" s="22"/>
      <c r="AV57" s="83">
        <f t="shared" si="33"/>
        <v>753.98223686155029</v>
      </c>
      <c r="AW57" s="83">
        <f t="shared" si="34"/>
        <v>209988.63021572994</v>
      </c>
      <c r="AX57" s="22">
        <f t="shared" si="35"/>
        <v>452.38934211693021</v>
      </c>
      <c r="AY57" s="83">
        <f t="shared" si="36"/>
        <v>9829.453235949175</v>
      </c>
      <c r="AZ57" s="83">
        <f t="shared" ref="AZ57:AZ105" si="52">AX57</f>
        <v>452.38934211693021</v>
      </c>
      <c r="BA57" s="22">
        <f t="shared" si="37"/>
        <v>10000</v>
      </c>
      <c r="BB57" s="83"/>
      <c r="BC57" s="83">
        <f t="shared" si="38"/>
        <v>753.98223686155029</v>
      </c>
      <c r="BD57" s="83">
        <f t="shared" si="39"/>
        <v>119994.31510786497</v>
      </c>
      <c r="BE57" s="22">
        <f t="shared" si="40"/>
        <v>452.38934211693021</v>
      </c>
      <c r="BF57" s="83">
        <f t="shared" si="41"/>
        <v>19829.453235949175</v>
      </c>
      <c r="BG57" s="83">
        <f t="shared" ref="BG57:BG105" si="53">BE57</f>
        <v>452.38934211693021</v>
      </c>
      <c r="BH57" s="22">
        <f t="shared" si="42"/>
        <v>20000</v>
      </c>
      <c r="BJ57" s="83">
        <f t="shared" si="43"/>
        <v>753.98223686155029</v>
      </c>
      <c r="BK57" s="83">
        <f t="shared" si="44"/>
        <v>119977.26043145989</v>
      </c>
      <c r="BL57" s="22">
        <f t="shared" si="45"/>
        <v>452.38934211693021</v>
      </c>
      <c r="BM57" s="83">
        <f t="shared" si="46"/>
        <v>19829.453235949175</v>
      </c>
      <c r="BN57" s="83">
        <f t="shared" ref="BN57:BN105" si="54">BL57</f>
        <v>452.38934211693021</v>
      </c>
      <c r="BO57" s="22">
        <f t="shared" si="47"/>
        <v>20000</v>
      </c>
    </row>
    <row r="58" spans="1:67" x14ac:dyDescent="0.15">
      <c r="A58" s="76">
        <f t="shared" ref="A58:A105" si="55">A57*1.2</f>
        <v>0.14399999999999999</v>
      </c>
      <c r="B58" s="75">
        <f t="shared" si="4"/>
        <v>4.1494682155561881E-2</v>
      </c>
      <c r="C58" s="75">
        <f t="shared" si="5"/>
        <v>4.1492981549250081E-2</v>
      </c>
      <c r="D58" s="75">
        <f t="shared" si="6"/>
        <v>4.1549809558492731E-2</v>
      </c>
      <c r="E58" s="75">
        <f t="shared" si="7"/>
        <v>4.2014933520725765E-2</v>
      </c>
      <c r="F58" s="75">
        <f t="shared" si="8"/>
        <v>4.154639947629922E-2</v>
      </c>
      <c r="G58" s="75">
        <f t="shared" si="9"/>
        <v>4.1556631402518904E-2</v>
      </c>
      <c r="K58" s="73">
        <f t="shared" si="10"/>
        <v>0.90477868423386032</v>
      </c>
      <c r="L58" s="82">
        <f t="shared" si="11"/>
        <v>1.0137659893094431</v>
      </c>
      <c r="M58" s="82">
        <f t="shared" si="12"/>
        <v>1.0137244414110005</v>
      </c>
      <c r="N58" s="82">
        <f t="shared" si="13"/>
        <v>1.0151128193914458</v>
      </c>
      <c r="O58" s="82">
        <f t="shared" si="14"/>
        <v>1.0264763683868801</v>
      </c>
      <c r="P58" s="82">
        <f t="shared" si="15"/>
        <v>1.0150295069000868</v>
      </c>
      <c r="Q58" s="82">
        <f t="shared" si="16"/>
        <v>1.0152794854098088</v>
      </c>
      <c r="R58" s="82"/>
      <c r="S58" s="22">
        <f t="shared" si="48"/>
        <v>0.90477868423386032</v>
      </c>
      <c r="T58" s="22">
        <f t="shared" si="17"/>
        <v>0.1187543409632613</v>
      </c>
      <c r="U58" s="22">
        <f t="shared" si="17"/>
        <v>0.11839835362527125</v>
      </c>
      <c r="V58" s="22">
        <f t="shared" si="17"/>
        <v>0.13028624629118313</v>
      </c>
      <c r="W58" s="22">
        <f t="shared" si="17"/>
        <v>0.22697910925517056</v>
      </c>
      <c r="X58" s="22">
        <f t="shared" si="17"/>
        <v>0.12957334740084256</v>
      </c>
      <c r="Y58" s="22">
        <f t="shared" si="17"/>
        <v>0.13171221962820284</v>
      </c>
      <c r="AA58" s="83">
        <f t="shared" si="18"/>
        <v>904.7786842338603</v>
      </c>
      <c r="AB58" s="83">
        <f t="shared" si="19"/>
        <v>219983.62751065113</v>
      </c>
      <c r="AC58" s="22">
        <f t="shared" si="20"/>
        <v>542.86721054031614</v>
      </c>
      <c r="AD58" s="83">
        <f t="shared" si="21"/>
        <v>19754.412659766815</v>
      </c>
      <c r="AE58" s="83">
        <f>AC58</f>
        <v>542.86721054031614</v>
      </c>
      <c r="AF58" s="22">
        <f t="shared" si="22"/>
        <v>20000</v>
      </c>
      <c r="AG58" s="83"/>
      <c r="AH58" s="83">
        <f t="shared" si="23"/>
        <v>904.7786842338603</v>
      </c>
      <c r="AI58" s="83">
        <f t="shared" si="24"/>
        <v>219991.81375532557</v>
      </c>
      <c r="AJ58" s="22">
        <f t="shared" si="25"/>
        <v>542.86721054031614</v>
      </c>
      <c r="AK58" s="83">
        <f t="shared" si="26"/>
        <v>19754.412659766815</v>
      </c>
      <c r="AL58" s="83">
        <f t="shared" si="50"/>
        <v>542.86721054031614</v>
      </c>
      <c r="AM58" s="22">
        <f t="shared" si="27"/>
        <v>20000</v>
      </c>
      <c r="AN58" s="83"/>
      <c r="AO58" s="83">
        <f t="shared" si="28"/>
        <v>904.7786842338603</v>
      </c>
      <c r="AP58" s="83">
        <f t="shared" si="29"/>
        <v>119983.62751065112</v>
      </c>
      <c r="AQ58" s="22">
        <f t="shared" si="30"/>
        <v>542.86721054031614</v>
      </c>
      <c r="AR58" s="83">
        <f t="shared" si="31"/>
        <v>19754.412659766815</v>
      </c>
      <c r="AS58" s="83">
        <f t="shared" si="51"/>
        <v>542.86721054031614</v>
      </c>
      <c r="AT58" s="22">
        <f t="shared" si="32"/>
        <v>20000</v>
      </c>
      <c r="AU58" s="22"/>
      <c r="AV58" s="83">
        <f t="shared" si="33"/>
        <v>904.7786842338603</v>
      </c>
      <c r="AW58" s="83">
        <f t="shared" si="34"/>
        <v>209983.62751065113</v>
      </c>
      <c r="AX58" s="22">
        <f t="shared" si="35"/>
        <v>542.86721054031614</v>
      </c>
      <c r="AY58" s="83">
        <f t="shared" si="36"/>
        <v>9754.4126597668128</v>
      </c>
      <c r="AZ58" s="83">
        <f t="shared" si="52"/>
        <v>542.86721054031614</v>
      </c>
      <c r="BA58" s="22">
        <f t="shared" si="37"/>
        <v>10000</v>
      </c>
      <c r="BB58" s="83"/>
      <c r="BC58" s="83">
        <f t="shared" si="38"/>
        <v>904.7786842338603</v>
      </c>
      <c r="BD58" s="83">
        <f t="shared" si="39"/>
        <v>119991.81375532557</v>
      </c>
      <c r="BE58" s="22">
        <f t="shared" si="40"/>
        <v>542.86721054031614</v>
      </c>
      <c r="BF58" s="83">
        <f t="shared" si="41"/>
        <v>19754.412659766815</v>
      </c>
      <c r="BG58" s="83">
        <f t="shared" si="53"/>
        <v>542.86721054031614</v>
      </c>
      <c r="BH58" s="22">
        <f t="shared" si="42"/>
        <v>20000</v>
      </c>
      <c r="BJ58" s="83">
        <f t="shared" si="43"/>
        <v>904.7786842338603</v>
      </c>
      <c r="BK58" s="83">
        <f t="shared" si="44"/>
        <v>119967.25502130225</v>
      </c>
      <c r="BL58" s="22">
        <f t="shared" si="45"/>
        <v>542.86721054031614</v>
      </c>
      <c r="BM58" s="83">
        <f t="shared" si="46"/>
        <v>19754.412659766815</v>
      </c>
      <c r="BN58" s="83">
        <f t="shared" si="54"/>
        <v>542.86721054031614</v>
      </c>
      <c r="BO58" s="22">
        <f t="shared" si="47"/>
        <v>20000</v>
      </c>
    </row>
    <row r="59" spans="1:67" x14ac:dyDescent="0.15">
      <c r="A59" s="76">
        <f t="shared" si="55"/>
        <v>0.17279999999999998</v>
      </c>
      <c r="B59" s="75">
        <f t="shared" si="4"/>
        <v>6.0116074442825483E-2</v>
      </c>
      <c r="C59" s="75">
        <f t="shared" si="5"/>
        <v>6.0112524561271467E-2</v>
      </c>
      <c r="D59" s="75">
        <f t="shared" si="6"/>
        <v>6.0231811066280165E-2</v>
      </c>
      <c r="E59" s="75">
        <f t="shared" si="7"/>
        <v>6.1211564373841162E-2</v>
      </c>
      <c r="F59" s="75">
        <f t="shared" si="8"/>
        <v>6.0224684463407022E-2</v>
      </c>
      <c r="G59" s="75">
        <f t="shared" si="9"/>
        <v>6.0246069333074921E-2</v>
      </c>
      <c r="I59" s="75"/>
      <c r="K59" s="73">
        <f t="shared" si="10"/>
        <v>1.0857344210806323</v>
      </c>
      <c r="L59" s="82">
        <f t="shared" si="11"/>
        <v>1.0199371159520565</v>
      </c>
      <c r="M59" s="82">
        <f t="shared" si="12"/>
        <v>1.0198768882011973</v>
      </c>
      <c r="N59" s="82">
        <f t="shared" si="13"/>
        <v>1.0219007185164366</v>
      </c>
      <c r="O59" s="82">
        <f t="shared" si="14"/>
        <v>1.0385233402048943</v>
      </c>
      <c r="P59" s="82">
        <f t="shared" si="15"/>
        <v>1.0217798076477822</v>
      </c>
      <c r="Q59" s="82">
        <f t="shared" si="16"/>
        <v>1.0221426261201498</v>
      </c>
      <c r="R59" s="82"/>
      <c r="S59" s="22">
        <f t="shared" si="48"/>
        <v>1.0857344210806323</v>
      </c>
      <c r="T59" s="22">
        <f t="shared" si="17"/>
        <v>0.17146792471076305</v>
      </c>
      <c r="U59" s="22">
        <f t="shared" si="17"/>
        <v>0.17095500383052686</v>
      </c>
      <c r="V59" s="22">
        <f t="shared" si="17"/>
        <v>0.18817409024183496</v>
      </c>
      <c r="W59" s="22">
        <f t="shared" si="17"/>
        <v>0.32832522990738572</v>
      </c>
      <c r="X59" s="22">
        <f t="shared" si="17"/>
        <v>0.18714631858285535</v>
      </c>
      <c r="Y59" s="22">
        <f t="shared" si="17"/>
        <v>0.19022999846294492</v>
      </c>
      <c r="AA59" s="83">
        <f t="shared" si="18"/>
        <v>1085.7344210806323</v>
      </c>
      <c r="AB59" s="83">
        <f t="shared" si="19"/>
        <v>219976.42361533761</v>
      </c>
      <c r="AC59" s="22">
        <f t="shared" si="20"/>
        <v>651.44065264837946</v>
      </c>
      <c r="AD59" s="83">
        <f t="shared" si="21"/>
        <v>19646.354230064211</v>
      </c>
      <c r="AE59" s="83">
        <f t="shared" si="49"/>
        <v>651.44065264837946</v>
      </c>
      <c r="AF59" s="22">
        <f t="shared" si="22"/>
        <v>20000</v>
      </c>
      <c r="AG59" s="83"/>
      <c r="AH59" s="83">
        <f t="shared" si="23"/>
        <v>1085.7344210806323</v>
      </c>
      <c r="AI59" s="83">
        <f t="shared" si="24"/>
        <v>219988.21180766882</v>
      </c>
      <c r="AJ59" s="22">
        <f t="shared" si="25"/>
        <v>651.44065264837946</v>
      </c>
      <c r="AK59" s="83">
        <f t="shared" si="26"/>
        <v>19646.354230064211</v>
      </c>
      <c r="AL59" s="83">
        <f t="shared" si="50"/>
        <v>651.44065264837946</v>
      </c>
      <c r="AM59" s="22">
        <f t="shared" si="27"/>
        <v>20000</v>
      </c>
      <c r="AN59" s="83"/>
      <c r="AO59" s="83">
        <f t="shared" si="28"/>
        <v>1085.7344210806323</v>
      </c>
      <c r="AP59" s="83">
        <f t="shared" si="29"/>
        <v>119976.42361533761</v>
      </c>
      <c r="AQ59" s="22">
        <f t="shared" si="30"/>
        <v>651.44065264837946</v>
      </c>
      <c r="AR59" s="83">
        <f t="shared" si="31"/>
        <v>19646.354230064211</v>
      </c>
      <c r="AS59" s="83">
        <f t="shared" si="51"/>
        <v>651.44065264837946</v>
      </c>
      <c r="AT59" s="22">
        <f t="shared" si="32"/>
        <v>20000</v>
      </c>
      <c r="AU59" s="22"/>
      <c r="AV59" s="83">
        <f t="shared" si="33"/>
        <v>1085.7344210806323</v>
      </c>
      <c r="AW59" s="83">
        <f t="shared" si="34"/>
        <v>209976.42361533761</v>
      </c>
      <c r="AX59" s="22">
        <f t="shared" si="35"/>
        <v>651.44065264837946</v>
      </c>
      <c r="AY59" s="83">
        <f t="shared" si="36"/>
        <v>9646.3542300642112</v>
      </c>
      <c r="AZ59" s="83">
        <f t="shared" si="52"/>
        <v>651.44065264837946</v>
      </c>
      <c r="BA59" s="22">
        <f t="shared" si="37"/>
        <v>10000</v>
      </c>
      <c r="BB59" s="83"/>
      <c r="BC59" s="83">
        <f t="shared" si="38"/>
        <v>1085.7344210806323</v>
      </c>
      <c r="BD59" s="83">
        <f t="shared" si="39"/>
        <v>119988.21180766881</v>
      </c>
      <c r="BE59" s="22">
        <f t="shared" si="40"/>
        <v>651.44065264837946</v>
      </c>
      <c r="BF59" s="83">
        <f t="shared" si="41"/>
        <v>19646.354230064211</v>
      </c>
      <c r="BG59" s="83">
        <f t="shared" si="53"/>
        <v>651.44065264837946</v>
      </c>
      <c r="BH59" s="22">
        <f t="shared" si="42"/>
        <v>20000</v>
      </c>
      <c r="BJ59" s="83">
        <f t="shared" si="43"/>
        <v>1085.7344210806323</v>
      </c>
      <c r="BK59" s="83">
        <f t="shared" si="44"/>
        <v>119952.84723067522</v>
      </c>
      <c r="BL59" s="22">
        <f t="shared" si="45"/>
        <v>651.44065264837946</v>
      </c>
      <c r="BM59" s="83">
        <f t="shared" si="46"/>
        <v>19646.354230064211</v>
      </c>
      <c r="BN59" s="83">
        <f t="shared" si="54"/>
        <v>651.44065264837946</v>
      </c>
      <c r="BO59" s="22">
        <f t="shared" si="47"/>
        <v>20000</v>
      </c>
    </row>
    <row r="60" spans="1:67" x14ac:dyDescent="0.15">
      <c r="A60" s="76">
        <f t="shared" si="55"/>
        <v>0.20735999999999996</v>
      </c>
      <c r="B60" s="75">
        <f t="shared" si="4"/>
        <v>8.7332055145561499E-2</v>
      </c>
      <c r="C60" s="75">
        <f t="shared" si="5"/>
        <v>8.7324622840435989E-2</v>
      </c>
      <c r="D60" s="75">
        <f t="shared" si="6"/>
        <v>8.7576395904329224E-2</v>
      </c>
      <c r="E60" s="75">
        <f t="shared" si="7"/>
        <v>8.965491636785658E-2</v>
      </c>
      <c r="F60" s="75">
        <f t="shared" si="8"/>
        <v>8.7561449586055662E-2</v>
      </c>
      <c r="G60" s="75">
        <f t="shared" si="9"/>
        <v>8.7606303853481032E-2</v>
      </c>
      <c r="K60" s="73">
        <f t="shared" si="10"/>
        <v>1.3028813052967587</v>
      </c>
      <c r="L60" s="82">
        <f t="shared" si="11"/>
        <v>1.0289492877931961</v>
      </c>
      <c r="M60" s="82">
        <f t="shared" si="12"/>
        <v>1.0288617201176979</v>
      </c>
      <c r="N60" s="82">
        <f t="shared" si="13"/>
        <v>1.0318281190458656</v>
      </c>
      <c r="O60" s="82">
        <f t="shared" si="14"/>
        <v>1.0563173188825734</v>
      </c>
      <c r="P60" s="82">
        <f t="shared" si="15"/>
        <v>1.0316520210081279</v>
      </c>
      <c r="Q60" s="82">
        <f t="shared" si="16"/>
        <v>1.0321804955349771</v>
      </c>
      <c r="R60" s="82"/>
      <c r="S60" s="22">
        <f t="shared" si="48"/>
        <v>1.3028813052967587</v>
      </c>
      <c r="T60" s="22">
        <f t="shared" si="17"/>
        <v>0.2478794180027287</v>
      </c>
      <c r="U60" s="22">
        <f t="shared" si="17"/>
        <v>0.24714018280302025</v>
      </c>
      <c r="V60" s="22">
        <f t="shared" si="17"/>
        <v>0.27214717902367891</v>
      </c>
      <c r="W60" s="22">
        <f t="shared" si="17"/>
        <v>0.47588800673084553</v>
      </c>
      <c r="X60" s="22">
        <f t="shared" si="17"/>
        <v>0.27066466596693356</v>
      </c>
      <c r="Y60" s="22">
        <f t="shared" si="17"/>
        <v>0.27511296444103295</v>
      </c>
      <c r="AA60" s="83">
        <f t="shared" si="18"/>
        <v>1302.8813052967587</v>
      </c>
      <c r="AB60" s="83">
        <f t="shared" si="19"/>
        <v>219966.05000608615</v>
      </c>
      <c r="AC60" s="22">
        <f t="shared" si="20"/>
        <v>781.72878317805521</v>
      </c>
      <c r="AD60" s="83">
        <f t="shared" si="21"/>
        <v>19490.750091292466</v>
      </c>
      <c r="AE60" s="83">
        <f t="shared" si="49"/>
        <v>781.72878317805521</v>
      </c>
      <c r="AF60" s="22">
        <f t="shared" si="22"/>
        <v>20000</v>
      </c>
      <c r="AG60" s="83"/>
      <c r="AH60" s="83">
        <f t="shared" si="23"/>
        <v>1302.8813052967587</v>
      </c>
      <c r="AI60" s="83">
        <f t="shared" si="24"/>
        <v>219983.02500304309</v>
      </c>
      <c r="AJ60" s="22">
        <f t="shared" si="25"/>
        <v>781.72878317805521</v>
      </c>
      <c r="AK60" s="83">
        <f t="shared" si="26"/>
        <v>19490.750091292466</v>
      </c>
      <c r="AL60" s="83">
        <f t="shared" si="50"/>
        <v>781.72878317805521</v>
      </c>
      <c r="AM60" s="22">
        <f t="shared" si="27"/>
        <v>20000</v>
      </c>
      <c r="AN60" s="83"/>
      <c r="AO60" s="83">
        <f t="shared" si="28"/>
        <v>1302.8813052967587</v>
      </c>
      <c r="AP60" s="83">
        <f t="shared" si="29"/>
        <v>119966.05000608617</v>
      </c>
      <c r="AQ60" s="22">
        <f t="shared" si="30"/>
        <v>781.72878317805521</v>
      </c>
      <c r="AR60" s="83">
        <f t="shared" si="31"/>
        <v>19490.750091292466</v>
      </c>
      <c r="AS60" s="83">
        <f t="shared" si="51"/>
        <v>781.72878317805521</v>
      </c>
      <c r="AT60" s="22">
        <f t="shared" si="32"/>
        <v>20000</v>
      </c>
      <c r="AU60" s="22"/>
      <c r="AV60" s="83">
        <f t="shared" si="33"/>
        <v>1302.8813052967587</v>
      </c>
      <c r="AW60" s="83">
        <f t="shared" si="34"/>
        <v>209966.05000608615</v>
      </c>
      <c r="AX60" s="22">
        <f t="shared" si="35"/>
        <v>781.72878317805521</v>
      </c>
      <c r="AY60" s="83">
        <f t="shared" si="36"/>
        <v>9490.7500912924643</v>
      </c>
      <c r="AZ60" s="83">
        <f t="shared" si="52"/>
        <v>781.72878317805521</v>
      </c>
      <c r="BA60" s="22">
        <f t="shared" si="37"/>
        <v>10000</v>
      </c>
      <c r="BB60" s="83"/>
      <c r="BC60" s="83">
        <f t="shared" si="38"/>
        <v>1302.8813052967587</v>
      </c>
      <c r="BD60" s="83">
        <f t="shared" si="39"/>
        <v>119983.02500304308</v>
      </c>
      <c r="BE60" s="22">
        <f t="shared" si="40"/>
        <v>781.72878317805521</v>
      </c>
      <c r="BF60" s="83">
        <f t="shared" si="41"/>
        <v>19490.750091292466</v>
      </c>
      <c r="BG60" s="83">
        <f t="shared" si="53"/>
        <v>781.72878317805521</v>
      </c>
      <c r="BH60" s="22">
        <f t="shared" si="42"/>
        <v>20000</v>
      </c>
      <c r="BJ60" s="83">
        <f t="shared" si="43"/>
        <v>1302.8813052967587</v>
      </c>
      <c r="BK60" s="83">
        <f t="shared" si="44"/>
        <v>119932.10001217233</v>
      </c>
      <c r="BL60" s="22">
        <f t="shared" si="45"/>
        <v>781.72878317805521</v>
      </c>
      <c r="BM60" s="83">
        <f t="shared" si="46"/>
        <v>19490.750091292466</v>
      </c>
      <c r="BN60" s="83">
        <f t="shared" si="54"/>
        <v>781.72878317805521</v>
      </c>
      <c r="BO60" s="22">
        <f t="shared" si="47"/>
        <v>20000</v>
      </c>
    </row>
    <row r="61" spans="1:67" x14ac:dyDescent="0.15">
      <c r="A61" s="76">
        <f t="shared" si="55"/>
        <v>0.24883199999999994</v>
      </c>
      <c r="B61" s="75">
        <f t="shared" si="4"/>
        <v>0.1273769631839049</v>
      </c>
      <c r="C61" s="75">
        <f t="shared" si="5"/>
        <v>0.12736133393594887</v>
      </c>
      <c r="D61" s="75">
        <f t="shared" si="6"/>
        <v>0.12789704279501174</v>
      </c>
      <c r="E61" s="75">
        <f t="shared" si="7"/>
        <v>0.13235295877424938</v>
      </c>
      <c r="F61" s="75">
        <f t="shared" si="8"/>
        <v>0.1278655333540738</v>
      </c>
      <c r="G61" s="75">
        <f t="shared" si="9"/>
        <v>0.1279601082874742</v>
      </c>
      <c r="K61" s="73">
        <f t="shared" si="10"/>
        <v>1.5634575663561103</v>
      </c>
      <c r="L61" s="82">
        <f t="shared" si="11"/>
        <v>1.0421942891391041</v>
      </c>
      <c r="M61" s="82">
        <f t="shared" si="12"/>
        <v>1.0420664111260303</v>
      </c>
      <c r="N61" s="82">
        <f t="shared" si="13"/>
        <v>1.046449564088709</v>
      </c>
      <c r="O61" s="82">
        <f t="shared" si="14"/>
        <v>1.0829077278756751</v>
      </c>
      <c r="P61" s="82">
        <f t="shared" si="15"/>
        <v>1.0461917548382871</v>
      </c>
      <c r="Q61" s="82">
        <f t="shared" si="16"/>
        <v>1.0469655639559003</v>
      </c>
      <c r="R61" s="82"/>
      <c r="S61" s="22">
        <f t="shared" si="48"/>
        <v>1.5634575663561103</v>
      </c>
      <c r="T61" s="22">
        <f t="shared" si="17"/>
        <v>0.35897378110209704</v>
      </c>
      <c r="U61" s="22">
        <f t="shared" si="17"/>
        <v>0.35790795060407304</v>
      </c>
      <c r="V61" s="22">
        <f t="shared" si="17"/>
        <v>0.39436602825165357</v>
      </c>
      <c r="W61" s="22">
        <f t="shared" si="17"/>
        <v>0.69182905897628821</v>
      </c>
      <c r="X61" s="22">
        <f t="shared" si="17"/>
        <v>0.39222585956826472</v>
      </c>
      <c r="Y61" s="22">
        <f t="shared" si="17"/>
        <v>0.3986479481923334</v>
      </c>
      <c r="AA61" s="83">
        <f t="shared" si="18"/>
        <v>1563.4575663561104</v>
      </c>
      <c r="AB61" s="83">
        <f t="shared" si="19"/>
        <v>219951.11200876409</v>
      </c>
      <c r="AC61" s="22">
        <f t="shared" si="20"/>
        <v>938.07453981366621</v>
      </c>
      <c r="AD61" s="83">
        <f t="shared" si="21"/>
        <v>19266.680131461148</v>
      </c>
      <c r="AE61" s="83">
        <f t="shared" si="49"/>
        <v>938.07453981366621</v>
      </c>
      <c r="AF61" s="22">
        <f t="shared" si="22"/>
        <v>20000</v>
      </c>
      <c r="AG61" s="83"/>
      <c r="AH61" s="83">
        <f t="shared" si="23"/>
        <v>1563.4575663561104</v>
      </c>
      <c r="AI61" s="83">
        <f t="shared" si="24"/>
        <v>219975.55600438203</v>
      </c>
      <c r="AJ61" s="22">
        <f t="shared" si="25"/>
        <v>938.07453981366621</v>
      </c>
      <c r="AK61" s="83">
        <f t="shared" si="26"/>
        <v>19266.680131461148</v>
      </c>
      <c r="AL61" s="83">
        <f t="shared" si="50"/>
        <v>938.07453981366621</v>
      </c>
      <c r="AM61" s="22">
        <f t="shared" si="27"/>
        <v>20000</v>
      </c>
      <c r="AN61" s="83"/>
      <c r="AO61" s="83">
        <f t="shared" si="28"/>
        <v>1563.4575663561104</v>
      </c>
      <c r="AP61" s="83">
        <f t="shared" si="29"/>
        <v>119951.11200876407</v>
      </c>
      <c r="AQ61" s="22">
        <f t="shared" si="30"/>
        <v>938.07453981366621</v>
      </c>
      <c r="AR61" s="83">
        <f t="shared" si="31"/>
        <v>19266.680131461148</v>
      </c>
      <c r="AS61" s="83">
        <f t="shared" si="51"/>
        <v>938.07453981366621</v>
      </c>
      <c r="AT61" s="22">
        <f t="shared" si="32"/>
        <v>20000</v>
      </c>
      <c r="AU61" s="22"/>
      <c r="AV61" s="83">
        <f t="shared" si="33"/>
        <v>1563.4575663561104</v>
      </c>
      <c r="AW61" s="83">
        <f t="shared" si="34"/>
        <v>209951.11200876409</v>
      </c>
      <c r="AX61" s="22">
        <f t="shared" si="35"/>
        <v>938.07453981366621</v>
      </c>
      <c r="AY61" s="83">
        <f t="shared" si="36"/>
        <v>9266.6801314611494</v>
      </c>
      <c r="AZ61" s="83">
        <f t="shared" si="52"/>
        <v>938.07453981366621</v>
      </c>
      <c r="BA61" s="22">
        <f t="shared" si="37"/>
        <v>10000</v>
      </c>
      <c r="BB61" s="83"/>
      <c r="BC61" s="83">
        <f t="shared" si="38"/>
        <v>1563.4575663561104</v>
      </c>
      <c r="BD61" s="83">
        <f t="shared" si="39"/>
        <v>119975.55600438204</v>
      </c>
      <c r="BE61" s="22">
        <f t="shared" si="40"/>
        <v>938.07453981366621</v>
      </c>
      <c r="BF61" s="83">
        <f t="shared" si="41"/>
        <v>19266.680131461148</v>
      </c>
      <c r="BG61" s="83">
        <f t="shared" si="53"/>
        <v>938.07453981366621</v>
      </c>
      <c r="BH61" s="22">
        <f t="shared" si="42"/>
        <v>20000</v>
      </c>
      <c r="BJ61" s="83">
        <f t="shared" si="43"/>
        <v>1563.4575663561104</v>
      </c>
      <c r="BK61" s="83">
        <f t="shared" si="44"/>
        <v>119902.22401752815</v>
      </c>
      <c r="BL61" s="22">
        <f t="shared" si="45"/>
        <v>938.07453981366621</v>
      </c>
      <c r="BM61" s="83">
        <f t="shared" si="46"/>
        <v>19266.680131461148</v>
      </c>
      <c r="BN61" s="83">
        <f t="shared" si="54"/>
        <v>938.07453981366621</v>
      </c>
      <c r="BO61" s="22">
        <f t="shared" si="47"/>
        <v>20000</v>
      </c>
    </row>
    <row r="62" spans="1:67" x14ac:dyDescent="0.15">
      <c r="A62" s="76">
        <f t="shared" si="55"/>
        <v>0.29859839999999993</v>
      </c>
      <c r="B62" s="75">
        <f t="shared" si="4"/>
        <v>0.18688087255294689</v>
      </c>
      <c r="C62" s="75">
        <f t="shared" si="5"/>
        <v>0.18684779241255051</v>
      </c>
      <c r="D62" s="75">
        <f t="shared" si="6"/>
        <v>0.18800130365033929</v>
      </c>
      <c r="E62" s="75">
        <f t="shared" si="7"/>
        <v>0.19770346247422063</v>
      </c>
      <c r="F62" s="75">
        <f t="shared" si="8"/>
        <v>0.18793436254402529</v>
      </c>
      <c r="G62" s="75">
        <f t="shared" si="9"/>
        <v>0.18813532902493638</v>
      </c>
      <c r="K62" s="73">
        <f t="shared" si="10"/>
        <v>1.8761490796273326</v>
      </c>
      <c r="L62" s="82">
        <f t="shared" si="11"/>
        <v>1.0618426360865623</v>
      </c>
      <c r="M62" s="82">
        <f t="shared" si="12"/>
        <v>1.0616546772922739</v>
      </c>
      <c r="N62" s="82">
        <f t="shared" si="13"/>
        <v>1.068208838757579</v>
      </c>
      <c r="O62" s="82">
        <f t="shared" si="14"/>
        <v>1.1233357533558714</v>
      </c>
      <c r="P62" s="82">
        <f t="shared" si="15"/>
        <v>1.0678284845788983</v>
      </c>
      <c r="Q62" s="82">
        <f t="shared" si="16"/>
        <v>1.0689703605501548</v>
      </c>
      <c r="R62" s="82"/>
      <c r="S62" s="22">
        <f t="shared" si="48"/>
        <v>1.8761490796273326</v>
      </c>
      <c r="T62" s="22">
        <f t="shared" si="17"/>
        <v>0.52120319097055035</v>
      </c>
      <c r="U62" s="22">
        <f t="shared" si="17"/>
        <v>0.5196655489517259</v>
      </c>
      <c r="V62" s="22">
        <f t="shared" si="17"/>
        <v>0.57312334324395187</v>
      </c>
      <c r="W62" s="22">
        <f t="shared" si="17"/>
        <v>1.0101916352228819</v>
      </c>
      <c r="X62" s="22">
        <f t="shared" si="17"/>
        <v>0.57003003170091759</v>
      </c>
      <c r="Y62" s="22">
        <f t="shared" si="17"/>
        <v>0.57931327296942658</v>
      </c>
      <c r="AA62" s="83">
        <f t="shared" si="18"/>
        <v>1876.1490796273326</v>
      </c>
      <c r="AB62" s="83">
        <f t="shared" si="19"/>
        <v>219929.60129262027</v>
      </c>
      <c r="AC62" s="22">
        <f t="shared" si="20"/>
        <v>1125.6894477763994</v>
      </c>
      <c r="AD62" s="83">
        <f t="shared" si="21"/>
        <v>18944.019389304052</v>
      </c>
      <c r="AE62" s="83">
        <f t="shared" si="49"/>
        <v>1125.6894477763994</v>
      </c>
      <c r="AF62" s="22">
        <f t="shared" si="22"/>
        <v>20000</v>
      </c>
      <c r="AG62" s="83"/>
      <c r="AH62" s="83">
        <f t="shared" si="23"/>
        <v>1876.1490796273326</v>
      </c>
      <c r="AI62" s="83">
        <f t="shared" si="24"/>
        <v>219964.80064631015</v>
      </c>
      <c r="AJ62" s="22">
        <f t="shared" si="25"/>
        <v>1125.6894477763994</v>
      </c>
      <c r="AK62" s="83">
        <f t="shared" si="26"/>
        <v>18944.019389304052</v>
      </c>
      <c r="AL62" s="83">
        <f t="shared" si="50"/>
        <v>1125.6894477763994</v>
      </c>
      <c r="AM62" s="22">
        <f t="shared" si="27"/>
        <v>20000</v>
      </c>
      <c r="AN62" s="83"/>
      <c r="AO62" s="83">
        <f t="shared" si="28"/>
        <v>1876.1490796273326</v>
      </c>
      <c r="AP62" s="83">
        <f t="shared" si="29"/>
        <v>119929.60129262027</v>
      </c>
      <c r="AQ62" s="22">
        <f t="shared" si="30"/>
        <v>1125.6894477763994</v>
      </c>
      <c r="AR62" s="83">
        <f t="shared" si="31"/>
        <v>18944.019389304052</v>
      </c>
      <c r="AS62" s="83">
        <f t="shared" si="51"/>
        <v>1125.6894477763994</v>
      </c>
      <c r="AT62" s="22">
        <f t="shared" si="32"/>
        <v>20000</v>
      </c>
      <c r="AU62" s="22"/>
      <c r="AV62" s="83">
        <f t="shared" si="33"/>
        <v>1876.1490796273326</v>
      </c>
      <c r="AW62" s="83">
        <f t="shared" si="34"/>
        <v>209929.60129262027</v>
      </c>
      <c r="AX62" s="22">
        <f t="shared" si="35"/>
        <v>1125.6894477763994</v>
      </c>
      <c r="AY62" s="83">
        <f t="shared" si="36"/>
        <v>8944.0193893040541</v>
      </c>
      <c r="AZ62" s="83">
        <f t="shared" si="52"/>
        <v>1125.6894477763994</v>
      </c>
      <c r="BA62" s="22">
        <f t="shared" si="37"/>
        <v>10000</v>
      </c>
      <c r="BB62" s="83"/>
      <c r="BC62" s="83">
        <f t="shared" si="38"/>
        <v>1876.1490796273326</v>
      </c>
      <c r="BD62" s="83">
        <f t="shared" si="39"/>
        <v>119964.80064631013</v>
      </c>
      <c r="BE62" s="22">
        <f t="shared" si="40"/>
        <v>1125.6894477763994</v>
      </c>
      <c r="BF62" s="83">
        <f t="shared" si="41"/>
        <v>18944.019389304052</v>
      </c>
      <c r="BG62" s="83">
        <f t="shared" si="53"/>
        <v>1125.6894477763994</v>
      </c>
      <c r="BH62" s="22">
        <f t="shared" si="42"/>
        <v>20000</v>
      </c>
      <c r="BJ62" s="83">
        <f t="shared" si="43"/>
        <v>1876.1490796273326</v>
      </c>
      <c r="BK62" s="83">
        <f t="shared" si="44"/>
        <v>119859.20258524053</v>
      </c>
      <c r="BL62" s="22">
        <f t="shared" si="45"/>
        <v>1125.6894477763994</v>
      </c>
      <c r="BM62" s="83">
        <f t="shared" si="46"/>
        <v>18944.019389304052</v>
      </c>
      <c r="BN62" s="83">
        <f t="shared" si="54"/>
        <v>1125.6894477763994</v>
      </c>
      <c r="BO62" s="22">
        <f t="shared" si="47"/>
        <v>20000</v>
      </c>
    </row>
    <row r="63" spans="1:67" x14ac:dyDescent="0.15">
      <c r="A63" s="76">
        <f t="shared" si="55"/>
        <v>0.35831807999999993</v>
      </c>
      <c r="B63" s="75">
        <f t="shared" si="4"/>
        <v>0.27659832883523511</v>
      </c>
      <c r="C63" s="75">
        <f t="shared" si="5"/>
        <v>0.27652763108480022</v>
      </c>
      <c r="D63" s="75">
        <f t="shared" si="6"/>
        <v>0.27905604818271462</v>
      </c>
      <c r="E63" s="75">
        <f t="shared" si="7"/>
        <v>0.30068080472447234</v>
      </c>
      <c r="F63" s="75">
        <f t="shared" si="8"/>
        <v>0.27891217522262501</v>
      </c>
      <c r="G63" s="75">
        <f t="shared" si="9"/>
        <v>0.27934423983279072</v>
      </c>
      <c r="K63" s="73">
        <f t="shared" si="10"/>
        <v>2.2513788955527989</v>
      </c>
      <c r="L63" s="82">
        <f t="shared" si="11"/>
        <v>1.0913960210442946</v>
      </c>
      <c r="M63" s="82">
        <f t="shared" si="12"/>
        <v>1.0911170633085543</v>
      </c>
      <c r="N63" s="82">
        <f t="shared" si="13"/>
        <v>1.1010936397102429</v>
      </c>
      <c r="O63" s="82">
        <f t="shared" si="14"/>
        <v>1.1864201611867511</v>
      </c>
      <c r="P63" s="82">
        <f t="shared" si="15"/>
        <v>1.1005259487309125</v>
      </c>
      <c r="Q63" s="82">
        <f t="shared" si="16"/>
        <v>1.1022307804208022</v>
      </c>
      <c r="R63" s="82"/>
      <c r="S63" s="22">
        <f t="shared" si="48"/>
        <v>2.2513788955527989</v>
      </c>
      <c r="T63" s="22">
        <f t="shared" si="17"/>
        <v>0.75964732242877087</v>
      </c>
      <c r="U63" s="22">
        <f t="shared" si="17"/>
        <v>0.75742694983454428</v>
      </c>
      <c r="V63" s="22">
        <f t="shared" si="17"/>
        <v>0.83648508025568469</v>
      </c>
      <c r="W63" s="22">
        <f t="shared" si="17"/>
        <v>1.4847703635379768</v>
      </c>
      <c r="X63" s="22">
        <f t="shared" si="17"/>
        <v>0.83200574029145313</v>
      </c>
      <c r="Y63" s="22">
        <f t="shared" si="17"/>
        <v>0.84545069557913344</v>
      </c>
      <c r="AA63" s="83">
        <f t="shared" si="18"/>
        <v>2251.3788955527989</v>
      </c>
      <c r="AB63" s="83">
        <f t="shared" si="19"/>
        <v>219898.62586137318</v>
      </c>
      <c r="AC63" s="22">
        <f t="shared" si="20"/>
        <v>1350.8273373316792</v>
      </c>
      <c r="AD63" s="83">
        <f t="shared" si="21"/>
        <v>18479.387920597837</v>
      </c>
      <c r="AE63" s="83">
        <f t="shared" si="49"/>
        <v>1350.8273373316792</v>
      </c>
      <c r="AF63" s="22">
        <f t="shared" si="22"/>
        <v>20000</v>
      </c>
      <c r="AG63" s="83"/>
      <c r="AH63" s="83">
        <f t="shared" si="23"/>
        <v>2251.3788955527989</v>
      </c>
      <c r="AI63" s="83">
        <f t="shared" si="24"/>
        <v>219949.3129306866</v>
      </c>
      <c r="AJ63" s="22">
        <f t="shared" si="25"/>
        <v>1350.8273373316792</v>
      </c>
      <c r="AK63" s="83">
        <f t="shared" si="26"/>
        <v>18479.387920597837</v>
      </c>
      <c r="AL63" s="83">
        <f t="shared" si="50"/>
        <v>1350.8273373316792</v>
      </c>
      <c r="AM63" s="22">
        <f t="shared" si="27"/>
        <v>20000</v>
      </c>
      <c r="AN63" s="83"/>
      <c r="AO63" s="83">
        <f t="shared" si="28"/>
        <v>2251.3788955527989</v>
      </c>
      <c r="AP63" s="83">
        <f t="shared" si="29"/>
        <v>119898.62586137319</v>
      </c>
      <c r="AQ63" s="22">
        <f t="shared" si="30"/>
        <v>1350.8273373316792</v>
      </c>
      <c r="AR63" s="83">
        <f t="shared" si="31"/>
        <v>18479.387920597837</v>
      </c>
      <c r="AS63" s="83">
        <f t="shared" si="51"/>
        <v>1350.8273373316792</v>
      </c>
      <c r="AT63" s="22">
        <f t="shared" si="32"/>
        <v>20000</v>
      </c>
      <c r="AU63" s="22"/>
      <c r="AV63" s="83">
        <f t="shared" si="33"/>
        <v>2251.3788955527989</v>
      </c>
      <c r="AW63" s="83">
        <f t="shared" si="34"/>
        <v>209898.62586137318</v>
      </c>
      <c r="AX63" s="22">
        <f t="shared" si="35"/>
        <v>1350.8273373316792</v>
      </c>
      <c r="AY63" s="83">
        <f t="shared" si="36"/>
        <v>8479.3879205978374</v>
      </c>
      <c r="AZ63" s="83">
        <f t="shared" si="52"/>
        <v>1350.8273373316792</v>
      </c>
      <c r="BA63" s="22">
        <f t="shared" si="37"/>
        <v>10000</v>
      </c>
      <c r="BB63" s="83"/>
      <c r="BC63" s="83">
        <f t="shared" si="38"/>
        <v>2251.3788955527989</v>
      </c>
      <c r="BD63" s="83">
        <f t="shared" si="39"/>
        <v>119949.31293068659</v>
      </c>
      <c r="BE63" s="22">
        <f t="shared" si="40"/>
        <v>1350.8273373316792</v>
      </c>
      <c r="BF63" s="83">
        <f t="shared" si="41"/>
        <v>18479.387920597837</v>
      </c>
      <c r="BG63" s="83">
        <f t="shared" si="53"/>
        <v>1350.8273373316792</v>
      </c>
      <c r="BH63" s="22">
        <f t="shared" si="42"/>
        <v>20000</v>
      </c>
      <c r="BJ63" s="83">
        <f t="shared" si="43"/>
        <v>2251.3788955527989</v>
      </c>
      <c r="BK63" s="83">
        <f t="shared" si="44"/>
        <v>119797.25172274638</v>
      </c>
      <c r="BL63" s="22">
        <f t="shared" si="45"/>
        <v>1350.8273373316792</v>
      </c>
      <c r="BM63" s="83">
        <f t="shared" si="46"/>
        <v>18479.387920597837</v>
      </c>
      <c r="BN63" s="83">
        <f t="shared" si="54"/>
        <v>1350.8273373316792</v>
      </c>
      <c r="BO63" s="22">
        <f t="shared" si="47"/>
        <v>20000</v>
      </c>
    </row>
    <row r="64" spans="1:67" x14ac:dyDescent="0.15">
      <c r="A64" s="76">
        <f t="shared" si="55"/>
        <v>0.42998169599999991</v>
      </c>
      <c r="B64" s="75">
        <f t="shared" si="4"/>
        <v>0.41486485951112867</v>
      </c>
      <c r="C64" s="75">
        <f t="shared" si="5"/>
        <v>0.41471152113209736</v>
      </c>
      <c r="D64" s="75">
        <f t="shared" si="6"/>
        <v>0.42040582509897279</v>
      </c>
      <c r="E64" s="75">
        <f t="shared" si="7"/>
        <v>0.47035985662126362</v>
      </c>
      <c r="F64" s="75">
        <f t="shared" si="8"/>
        <v>0.42009105017708864</v>
      </c>
      <c r="G64" s="75">
        <f t="shared" si="9"/>
        <v>0.42103679214345047</v>
      </c>
      <c r="K64" s="73">
        <f t="shared" si="10"/>
        <v>2.701654674663359</v>
      </c>
      <c r="L64" s="82">
        <f t="shared" si="11"/>
        <v>1.136781434733821</v>
      </c>
      <c r="M64" s="82">
        <f t="shared" si="12"/>
        <v>1.1363612684591446</v>
      </c>
      <c r="N64" s="82">
        <f t="shared" si="13"/>
        <v>1.1519643712162764</v>
      </c>
      <c r="O64" s="82">
        <f t="shared" si="14"/>
        <v>1.2888446451723907</v>
      </c>
      <c r="P64" s="82">
        <f t="shared" si="15"/>
        <v>1.1511018486884841</v>
      </c>
      <c r="Q64" s="82">
        <f t="shared" si="16"/>
        <v>1.1536932995784814</v>
      </c>
      <c r="R64" s="82"/>
      <c r="S64" s="22">
        <f t="shared" si="48"/>
        <v>2.701654674663359</v>
      </c>
      <c r="T64" s="22">
        <f t="shared" si="17"/>
        <v>1.1135394465498656</v>
      </c>
      <c r="U64" s="22">
        <f t="shared" si="17"/>
        <v>1.1103284577035324</v>
      </c>
      <c r="V64" s="22">
        <f t="shared" si="17"/>
        <v>1.22878094244783</v>
      </c>
      <c r="W64" s="22">
        <f t="shared" si="17"/>
        <v>2.2040114299146039</v>
      </c>
      <c r="X64" s="22">
        <f t="shared" si="17"/>
        <v>1.2222750280522643</v>
      </c>
      <c r="Y64" s="22">
        <f t="shared" si="17"/>
        <v>1.2418074068281841</v>
      </c>
      <c r="AA64" s="83">
        <f t="shared" si="18"/>
        <v>2701.6546746633589</v>
      </c>
      <c r="AB64" s="83">
        <f t="shared" si="19"/>
        <v>219854.02124037739</v>
      </c>
      <c r="AC64" s="22">
        <f t="shared" si="20"/>
        <v>1620.9928047980154</v>
      </c>
      <c r="AD64" s="83">
        <f t="shared" si="21"/>
        <v>17810.318605660887</v>
      </c>
      <c r="AE64" s="83">
        <f t="shared" si="49"/>
        <v>1620.9928047980154</v>
      </c>
      <c r="AF64" s="22">
        <f t="shared" si="22"/>
        <v>20000</v>
      </c>
      <c r="AG64" s="83"/>
      <c r="AH64" s="83">
        <f t="shared" si="23"/>
        <v>2701.6546746633589</v>
      </c>
      <c r="AI64" s="83">
        <f t="shared" si="24"/>
        <v>219927.0106201887</v>
      </c>
      <c r="AJ64" s="22">
        <f t="shared" si="25"/>
        <v>1620.9928047980154</v>
      </c>
      <c r="AK64" s="83">
        <f t="shared" si="26"/>
        <v>17810.318605660887</v>
      </c>
      <c r="AL64" s="83">
        <f t="shared" si="50"/>
        <v>1620.9928047980154</v>
      </c>
      <c r="AM64" s="22">
        <f t="shared" si="27"/>
        <v>20000</v>
      </c>
      <c r="AN64" s="83"/>
      <c r="AO64" s="83">
        <f t="shared" si="28"/>
        <v>2701.6546746633589</v>
      </c>
      <c r="AP64" s="83">
        <f t="shared" si="29"/>
        <v>119854.02124037739</v>
      </c>
      <c r="AQ64" s="22">
        <f t="shared" si="30"/>
        <v>1620.9928047980154</v>
      </c>
      <c r="AR64" s="83">
        <f t="shared" si="31"/>
        <v>17810.318605660887</v>
      </c>
      <c r="AS64" s="83">
        <f t="shared" si="51"/>
        <v>1620.9928047980154</v>
      </c>
      <c r="AT64" s="22">
        <f t="shared" si="32"/>
        <v>20000</v>
      </c>
      <c r="AU64" s="22"/>
      <c r="AV64" s="83">
        <f t="shared" si="33"/>
        <v>2701.6546746633589</v>
      </c>
      <c r="AW64" s="83">
        <f t="shared" si="34"/>
        <v>209854.02124037739</v>
      </c>
      <c r="AX64" s="22">
        <f t="shared" si="35"/>
        <v>1620.9928047980154</v>
      </c>
      <c r="AY64" s="83">
        <f t="shared" si="36"/>
        <v>7810.3186056608865</v>
      </c>
      <c r="AZ64" s="83">
        <f t="shared" si="52"/>
        <v>1620.9928047980154</v>
      </c>
      <c r="BA64" s="22">
        <f t="shared" si="37"/>
        <v>10000</v>
      </c>
      <c r="BB64" s="83"/>
      <c r="BC64" s="83">
        <f t="shared" si="38"/>
        <v>2701.6546746633589</v>
      </c>
      <c r="BD64" s="83">
        <f t="shared" si="39"/>
        <v>119927.0106201887</v>
      </c>
      <c r="BE64" s="22">
        <f t="shared" si="40"/>
        <v>1620.9928047980154</v>
      </c>
      <c r="BF64" s="83">
        <f t="shared" si="41"/>
        <v>17810.318605660887</v>
      </c>
      <c r="BG64" s="83">
        <f t="shared" si="53"/>
        <v>1620.9928047980154</v>
      </c>
      <c r="BH64" s="22">
        <f t="shared" si="42"/>
        <v>20000</v>
      </c>
      <c r="BJ64" s="83">
        <f t="shared" si="43"/>
        <v>2701.6546746633589</v>
      </c>
      <c r="BK64" s="83">
        <f t="shared" si="44"/>
        <v>119708.04248075478</v>
      </c>
      <c r="BL64" s="22">
        <f t="shared" si="45"/>
        <v>1620.9928047980154</v>
      </c>
      <c r="BM64" s="83">
        <f t="shared" si="46"/>
        <v>17810.318605660887</v>
      </c>
      <c r="BN64" s="83">
        <f t="shared" si="54"/>
        <v>1620.9928047980154</v>
      </c>
      <c r="BO64" s="22">
        <f t="shared" si="47"/>
        <v>20000</v>
      </c>
    </row>
    <row r="65" spans="1:67" x14ac:dyDescent="0.15">
      <c r="A65" s="76">
        <f t="shared" si="55"/>
        <v>0.51597803519999985</v>
      </c>
      <c r="B65" s="75">
        <f t="shared" si="4"/>
        <v>0.63522002298710012</v>
      </c>
      <c r="C65" s="75">
        <f t="shared" si="5"/>
        <v>0.63487968039542353</v>
      </c>
      <c r="D65" s="75">
        <f t="shared" si="6"/>
        <v>0.64825810516685678</v>
      </c>
      <c r="E65" s="75">
        <f t="shared" si="7"/>
        <v>0.77027675414269658</v>
      </c>
      <c r="F65" s="75">
        <f t="shared" si="8"/>
        <v>0.64754968465891638</v>
      </c>
      <c r="G65" s="75">
        <f t="shared" si="9"/>
        <v>0.64967960598726171</v>
      </c>
      <c r="K65" s="73">
        <f t="shared" si="10"/>
        <v>3.2419856095960302</v>
      </c>
      <c r="L65" s="82">
        <f t="shared" si="11"/>
        <v>1.208737537169613</v>
      </c>
      <c r="M65" s="82">
        <f t="shared" si="12"/>
        <v>1.2080899113845778</v>
      </c>
      <c r="N65" s="82">
        <f t="shared" si="13"/>
        <v>1.2335472389628042</v>
      </c>
      <c r="O65" s="82">
        <f t="shared" si="14"/>
        <v>1.4657321763302702</v>
      </c>
      <c r="P65" s="82">
        <f t="shared" si="15"/>
        <v>1.2321992108322966</v>
      </c>
      <c r="Q65" s="82">
        <f t="shared" si="16"/>
        <v>1.236252162199734</v>
      </c>
      <c r="R65" s="82"/>
      <c r="S65" s="22">
        <f t="shared" si="48"/>
        <v>3.2419856095960302</v>
      </c>
      <c r="T65" s="22">
        <f t="shared" si="17"/>
        <v>1.6466401853972659</v>
      </c>
      <c r="U65" s="22">
        <f t="shared" si="17"/>
        <v>1.6419851520115887</v>
      </c>
      <c r="V65" s="22">
        <f t="shared" si="17"/>
        <v>1.823115710938227</v>
      </c>
      <c r="W65" s="22">
        <f t="shared" si="17"/>
        <v>3.3210924351892275</v>
      </c>
      <c r="X65" s="22">
        <f t="shared" si="17"/>
        <v>1.8136185262312661</v>
      </c>
      <c r="Y65" s="22">
        <f t="shared" si="17"/>
        <v>1.842141283701757</v>
      </c>
      <c r="AA65" s="83">
        <f t="shared" si="18"/>
        <v>3241.9856095960304</v>
      </c>
      <c r="AB65" s="83">
        <f t="shared" si="19"/>
        <v>219789.79058614344</v>
      </c>
      <c r="AC65" s="22">
        <f t="shared" si="20"/>
        <v>1945.1913657576181</v>
      </c>
      <c r="AD65" s="83">
        <f t="shared" si="21"/>
        <v>16846.858792151677</v>
      </c>
      <c r="AE65" s="83">
        <f t="shared" si="49"/>
        <v>1945.1913657576181</v>
      </c>
      <c r="AF65" s="22">
        <f t="shared" si="22"/>
        <v>20000</v>
      </c>
      <c r="AG65" s="83"/>
      <c r="AH65" s="83">
        <f t="shared" si="23"/>
        <v>3241.9856095960304</v>
      </c>
      <c r="AI65" s="83">
        <f t="shared" si="24"/>
        <v>219894.89529307172</v>
      </c>
      <c r="AJ65" s="22">
        <f t="shared" si="25"/>
        <v>1945.1913657576181</v>
      </c>
      <c r="AK65" s="83">
        <f t="shared" si="26"/>
        <v>16846.858792151677</v>
      </c>
      <c r="AL65" s="83">
        <f t="shared" si="50"/>
        <v>1945.1913657576181</v>
      </c>
      <c r="AM65" s="22">
        <f t="shared" si="27"/>
        <v>20000</v>
      </c>
      <c r="AN65" s="83"/>
      <c r="AO65" s="83">
        <f t="shared" si="28"/>
        <v>3241.9856095960304</v>
      </c>
      <c r="AP65" s="83">
        <f t="shared" si="29"/>
        <v>119789.79058614344</v>
      </c>
      <c r="AQ65" s="22">
        <f t="shared" si="30"/>
        <v>1945.1913657576181</v>
      </c>
      <c r="AR65" s="83">
        <f t="shared" si="31"/>
        <v>16846.858792151677</v>
      </c>
      <c r="AS65" s="83">
        <f t="shared" si="51"/>
        <v>1945.1913657576181</v>
      </c>
      <c r="AT65" s="22">
        <f t="shared" si="32"/>
        <v>20000</v>
      </c>
      <c r="AU65" s="22"/>
      <c r="AV65" s="83">
        <f t="shared" si="33"/>
        <v>3241.9856095960304</v>
      </c>
      <c r="AW65" s="83">
        <f t="shared" si="34"/>
        <v>209789.79058614344</v>
      </c>
      <c r="AX65" s="22">
        <f t="shared" si="35"/>
        <v>1945.1913657576181</v>
      </c>
      <c r="AY65" s="83">
        <f t="shared" si="36"/>
        <v>6846.8587921516773</v>
      </c>
      <c r="AZ65" s="83">
        <f t="shared" si="52"/>
        <v>1945.1913657576181</v>
      </c>
      <c r="BA65" s="22">
        <f t="shared" si="37"/>
        <v>10000</v>
      </c>
      <c r="BB65" s="83"/>
      <c r="BC65" s="83">
        <f t="shared" si="38"/>
        <v>3241.9856095960304</v>
      </c>
      <c r="BD65" s="83">
        <f t="shared" si="39"/>
        <v>119894.89529307172</v>
      </c>
      <c r="BE65" s="22">
        <f t="shared" si="40"/>
        <v>1945.1913657576181</v>
      </c>
      <c r="BF65" s="83">
        <f t="shared" si="41"/>
        <v>16846.858792151677</v>
      </c>
      <c r="BG65" s="83">
        <f t="shared" si="53"/>
        <v>1945.1913657576181</v>
      </c>
      <c r="BH65" s="22">
        <f t="shared" si="42"/>
        <v>20000</v>
      </c>
      <c r="BJ65" s="83">
        <f t="shared" si="43"/>
        <v>3241.9856095960304</v>
      </c>
      <c r="BK65" s="83">
        <f t="shared" si="44"/>
        <v>119579.5811722869</v>
      </c>
      <c r="BL65" s="22">
        <f t="shared" si="45"/>
        <v>1945.1913657576181</v>
      </c>
      <c r="BM65" s="83">
        <f t="shared" si="46"/>
        <v>16846.858792151677</v>
      </c>
      <c r="BN65" s="83">
        <f t="shared" si="54"/>
        <v>1945.1913657576181</v>
      </c>
      <c r="BO65" s="22">
        <f t="shared" si="47"/>
        <v>20000</v>
      </c>
    </row>
    <row r="66" spans="1:67" x14ac:dyDescent="0.15">
      <c r="A66" s="76">
        <f t="shared" si="55"/>
        <v>0.61917364223999982</v>
      </c>
      <c r="B66" s="75">
        <f t="shared" si="4"/>
        <v>1.0055087865671668</v>
      </c>
      <c r="C66" s="75">
        <f t="shared" si="5"/>
        <v>1.0047244115542953</v>
      </c>
      <c r="D66" s="75">
        <f t="shared" si="6"/>
        <v>1.0383932598122596</v>
      </c>
      <c r="E66" s="75">
        <f t="shared" si="7"/>
        <v>1.3634540379305822</v>
      </c>
      <c r="F66" s="75">
        <f t="shared" si="8"/>
        <v>1.0367219853483911</v>
      </c>
      <c r="G66" s="75">
        <f t="shared" si="9"/>
        <v>1.0417520235077975</v>
      </c>
      <c r="K66" s="73">
        <f t="shared" si="10"/>
        <v>3.8903827315152366</v>
      </c>
      <c r="L66" s="82">
        <f t="shared" si="11"/>
        <v>1.3287130730465515</v>
      </c>
      <c r="M66" s="82">
        <f t="shared" si="12"/>
        <v>1.3276765735671869</v>
      </c>
      <c r="N66" s="82">
        <f t="shared" si="13"/>
        <v>1.3721677201711946</v>
      </c>
      <c r="O66" s="82">
        <f t="shared" si="14"/>
        <v>1.8017139471067742</v>
      </c>
      <c r="P66" s="82">
        <f t="shared" si="15"/>
        <v>1.3699592419774114</v>
      </c>
      <c r="Q66" s="82">
        <f t="shared" si="16"/>
        <v>1.3766061032973844</v>
      </c>
      <c r="R66" s="82"/>
      <c r="S66" s="22">
        <f t="shared" si="48"/>
        <v>3.8903827315152366</v>
      </c>
      <c r="T66" s="22">
        <f t="shared" si="17"/>
        <v>2.4686241599220731</v>
      </c>
      <c r="U66" s="22">
        <f t="shared" si="17"/>
        <v>2.4618458466907711</v>
      </c>
      <c r="V66" s="22">
        <f t="shared" si="17"/>
        <v>2.7481439692959424</v>
      </c>
      <c r="W66" s="22">
        <f t="shared" si="17"/>
        <v>5.1137168088381149</v>
      </c>
      <c r="X66" s="22">
        <f t="shared" si="17"/>
        <v>2.7341529307542043</v>
      </c>
      <c r="Y66" s="22">
        <f t="shared" si="17"/>
        <v>2.7761938140520899</v>
      </c>
      <c r="AA66" s="83">
        <f t="shared" si="18"/>
        <v>3890.3827315152366</v>
      </c>
      <c r="AB66" s="83">
        <f t="shared" si="19"/>
        <v>219697.29844404655</v>
      </c>
      <c r="AC66" s="22">
        <f t="shared" si="20"/>
        <v>2334.2296389091421</v>
      </c>
      <c r="AD66" s="83">
        <f t="shared" si="21"/>
        <v>15459.476660698414</v>
      </c>
      <c r="AE66" s="83">
        <f t="shared" si="49"/>
        <v>2334.2296389091421</v>
      </c>
      <c r="AF66" s="22">
        <f t="shared" si="22"/>
        <v>20000</v>
      </c>
      <c r="AG66" s="83"/>
      <c r="AH66" s="83">
        <f t="shared" si="23"/>
        <v>3890.3827315152366</v>
      </c>
      <c r="AI66" s="83">
        <f t="shared" si="24"/>
        <v>219848.64922202329</v>
      </c>
      <c r="AJ66" s="22">
        <f t="shared" si="25"/>
        <v>2334.2296389091421</v>
      </c>
      <c r="AK66" s="83">
        <f t="shared" si="26"/>
        <v>15459.476660698414</v>
      </c>
      <c r="AL66" s="83">
        <f t="shared" si="50"/>
        <v>2334.2296389091421</v>
      </c>
      <c r="AM66" s="22">
        <f t="shared" si="27"/>
        <v>20000</v>
      </c>
      <c r="AN66" s="83"/>
      <c r="AO66" s="83">
        <f t="shared" si="28"/>
        <v>3890.3827315152366</v>
      </c>
      <c r="AP66" s="83">
        <f t="shared" si="29"/>
        <v>119697.29844404657</v>
      </c>
      <c r="AQ66" s="22">
        <f t="shared" si="30"/>
        <v>2334.2296389091421</v>
      </c>
      <c r="AR66" s="83">
        <f t="shared" si="31"/>
        <v>15459.476660698414</v>
      </c>
      <c r="AS66" s="83">
        <f t="shared" si="51"/>
        <v>2334.2296389091421</v>
      </c>
      <c r="AT66" s="22">
        <f t="shared" si="32"/>
        <v>20000</v>
      </c>
      <c r="AU66" s="22"/>
      <c r="AV66" s="83">
        <f t="shared" si="33"/>
        <v>3890.3827315152366</v>
      </c>
      <c r="AW66" s="83">
        <f t="shared" si="34"/>
        <v>209697.29844404655</v>
      </c>
      <c r="AX66" s="22">
        <f t="shared" si="35"/>
        <v>2334.2296389091421</v>
      </c>
      <c r="AY66" s="83">
        <f t="shared" si="36"/>
        <v>5459.476660698414</v>
      </c>
      <c r="AZ66" s="83">
        <f t="shared" si="52"/>
        <v>2334.2296389091421</v>
      </c>
      <c r="BA66" s="22">
        <f t="shared" si="37"/>
        <v>10000</v>
      </c>
      <c r="BB66" s="83"/>
      <c r="BC66" s="83">
        <f t="shared" si="38"/>
        <v>3890.3827315152366</v>
      </c>
      <c r="BD66" s="83">
        <f t="shared" si="39"/>
        <v>119848.64922202328</v>
      </c>
      <c r="BE66" s="22">
        <f t="shared" si="40"/>
        <v>2334.2296389091421</v>
      </c>
      <c r="BF66" s="83">
        <f t="shared" si="41"/>
        <v>15459.476660698414</v>
      </c>
      <c r="BG66" s="83">
        <f t="shared" si="53"/>
        <v>2334.2296389091421</v>
      </c>
      <c r="BH66" s="22">
        <f t="shared" si="42"/>
        <v>20000</v>
      </c>
      <c r="BJ66" s="83">
        <f t="shared" si="43"/>
        <v>3890.3827315152366</v>
      </c>
      <c r="BK66" s="83">
        <f t="shared" si="44"/>
        <v>119394.59688809312</v>
      </c>
      <c r="BL66" s="22">
        <f t="shared" si="45"/>
        <v>2334.2296389091421</v>
      </c>
      <c r="BM66" s="83">
        <f t="shared" si="46"/>
        <v>15459.476660698414</v>
      </c>
      <c r="BN66" s="83">
        <f t="shared" si="54"/>
        <v>2334.2296389091421</v>
      </c>
      <c r="BO66" s="22">
        <f t="shared" si="47"/>
        <v>20000</v>
      </c>
    </row>
    <row r="67" spans="1:67" x14ac:dyDescent="0.15">
      <c r="A67" s="76">
        <f t="shared" si="55"/>
        <v>0.74300837068799974</v>
      </c>
      <c r="B67" s="75">
        <f t="shared" si="4"/>
        <v>1.6848544596479749</v>
      </c>
      <c r="C67" s="75">
        <f t="shared" si="5"/>
        <v>1.6829241615756831</v>
      </c>
      <c r="D67" s="75">
        <f t="shared" si="6"/>
        <v>1.7783462690833076</v>
      </c>
      <c r="E67" s="75">
        <f t="shared" si="7"/>
        <v>2.7367369456940636</v>
      </c>
      <c r="F67" s="75">
        <f t="shared" si="8"/>
        <v>1.7740526470043509</v>
      </c>
      <c r="G67" s="75">
        <f t="shared" si="9"/>
        <v>1.7869961414919195</v>
      </c>
      <c r="K67" s="73">
        <f t="shared" si="10"/>
        <v>4.6684592778182834</v>
      </c>
      <c r="L67" s="82">
        <f t="shared" si="11"/>
        <v>1.5461272612420338</v>
      </c>
      <c r="M67" s="82">
        <f t="shared" si="12"/>
        <v>1.5443558996536171</v>
      </c>
      <c r="N67" s="82">
        <f t="shared" si="13"/>
        <v>1.6319211613875784</v>
      </c>
      <c r="O67" s="82">
        <f t="shared" si="14"/>
        <v>2.5114000644719945</v>
      </c>
      <c r="P67" s="82">
        <f t="shared" si="15"/>
        <v>1.6279810666762922</v>
      </c>
      <c r="Q67" s="82">
        <f t="shared" si="16"/>
        <v>1.6398588223888817</v>
      </c>
      <c r="R67" s="82"/>
      <c r="S67" s="22">
        <f t="shared" si="48"/>
        <v>4.6684592778182834</v>
      </c>
      <c r="T67" s="22">
        <f t="shared" si="17"/>
        <v>3.7849047538781027</v>
      </c>
      <c r="U67" s="22">
        <f t="shared" si="17"/>
        <v>3.7749478298957118</v>
      </c>
      <c r="V67" s="22">
        <f t="shared" si="17"/>
        <v>4.2539834804968617</v>
      </c>
      <c r="W67" s="22">
        <f t="shared" si="17"/>
        <v>7.9983180213079059</v>
      </c>
      <c r="X67" s="22">
        <f t="shared" si="17"/>
        <v>4.232986995267277</v>
      </c>
      <c r="Y67" s="22">
        <f t="shared" si="17"/>
        <v>4.296129213433896</v>
      </c>
      <c r="AA67" s="83">
        <f t="shared" si="18"/>
        <v>4668.4592778182832</v>
      </c>
      <c r="AB67" s="83">
        <f t="shared" si="19"/>
        <v>219564.10975942705</v>
      </c>
      <c r="AC67" s="22">
        <f t="shared" si="20"/>
        <v>2801.0755666909699</v>
      </c>
      <c r="AD67" s="83">
        <f t="shared" si="21"/>
        <v>13461.646391405717</v>
      </c>
      <c r="AE67" s="83">
        <f t="shared" si="49"/>
        <v>2801.0755666909699</v>
      </c>
      <c r="AF67" s="22">
        <f t="shared" si="22"/>
        <v>20000</v>
      </c>
      <c r="AG67" s="83"/>
      <c r="AH67" s="83">
        <f t="shared" si="23"/>
        <v>4668.4592778182832</v>
      </c>
      <c r="AI67" s="83">
        <f t="shared" si="24"/>
        <v>219782.05487971351</v>
      </c>
      <c r="AJ67" s="22">
        <f t="shared" si="25"/>
        <v>2801.0755666909699</v>
      </c>
      <c r="AK67" s="83">
        <f t="shared" si="26"/>
        <v>13461.646391405717</v>
      </c>
      <c r="AL67" s="83">
        <f t="shared" si="50"/>
        <v>2801.0755666909699</v>
      </c>
      <c r="AM67" s="22">
        <f t="shared" si="27"/>
        <v>20000</v>
      </c>
      <c r="AN67" s="83"/>
      <c r="AO67" s="83">
        <f t="shared" si="28"/>
        <v>4668.4592778182832</v>
      </c>
      <c r="AP67" s="83">
        <f t="shared" si="29"/>
        <v>119564.10975942705</v>
      </c>
      <c r="AQ67" s="22">
        <f t="shared" si="30"/>
        <v>2801.0755666909699</v>
      </c>
      <c r="AR67" s="83">
        <f t="shared" si="31"/>
        <v>13461.646391405717</v>
      </c>
      <c r="AS67" s="83">
        <f t="shared" si="51"/>
        <v>2801.0755666909699</v>
      </c>
      <c r="AT67" s="22">
        <f t="shared" si="32"/>
        <v>20000</v>
      </c>
      <c r="AU67" s="22"/>
      <c r="AV67" s="83">
        <f t="shared" si="33"/>
        <v>4668.4592778182832</v>
      </c>
      <c r="AW67" s="83">
        <f t="shared" si="34"/>
        <v>209564.10975942705</v>
      </c>
      <c r="AX67" s="22">
        <f t="shared" si="35"/>
        <v>2801.0755666909699</v>
      </c>
      <c r="AY67" s="83">
        <f t="shared" si="36"/>
        <v>3461.6463914057167</v>
      </c>
      <c r="AZ67" s="83">
        <f t="shared" si="52"/>
        <v>2801.0755666909699</v>
      </c>
      <c r="BA67" s="22">
        <f t="shared" si="37"/>
        <v>10000</v>
      </c>
      <c r="BB67" s="83"/>
      <c r="BC67" s="83">
        <f t="shared" si="38"/>
        <v>4668.4592778182832</v>
      </c>
      <c r="BD67" s="83">
        <f t="shared" si="39"/>
        <v>119782.05487971353</v>
      </c>
      <c r="BE67" s="22">
        <f t="shared" si="40"/>
        <v>2801.0755666909699</v>
      </c>
      <c r="BF67" s="83">
        <f t="shared" si="41"/>
        <v>13461.646391405717</v>
      </c>
      <c r="BG67" s="83">
        <f t="shared" si="53"/>
        <v>2801.0755666909699</v>
      </c>
      <c r="BH67" s="22">
        <f t="shared" si="42"/>
        <v>20000</v>
      </c>
      <c r="BJ67" s="83">
        <f t="shared" si="43"/>
        <v>4668.4592778182832</v>
      </c>
      <c r="BK67" s="83">
        <f t="shared" si="44"/>
        <v>119128.21951885409</v>
      </c>
      <c r="BL67" s="22">
        <f t="shared" si="45"/>
        <v>2801.0755666909699</v>
      </c>
      <c r="BM67" s="83">
        <f t="shared" si="46"/>
        <v>13461.646391405717</v>
      </c>
      <c r="BN67" s="83">
        <f t="shared" si="54"/>
        <v>2801.0755666909699</v>
      </c>
      <c r="BO67" s="22">
        <f t="shared" si="47"/>
        <v>20000</v>
      </c>
    </row>
    <row r="68" spans="1:67" x14ac:dyDescent="0.15">
      <c r="A68" s="76">
        <f t="shared" si="55"/>
        <v>0.89161004482559969</v>
      </c>
      <c r="B68" s="75">
        <f t="shared" si="4"/>
        <v>3.1421376308233318</v>
      </c>
      <c r="C68" s="75">
        <f t="shared" si="5"/>
        <v>3.1367425077800442</v>
      </c>
      <c r="D68" s="75">
        <f t="shared" si="6"/>
        <v>3.4751155371734614</v>
      </c>
      <c r="E68" s="75">
        <f t="shared" si="7"/>
        <v>5.173820751303011</v>
      </c>
      <c r="F68" s="75">
        <f t="shared" si="8"/>
        <v>3.4619636537723504</v>
      </c>
      <c r="G68" s="75">
        <f t="shared" si="9"/>
        <v>3.501720890103277</v>
      </c>
      <c r="K68" s="73">
        <f t="shared" si="10"/>
        <v>5.6021511333819403</v>
      </c>
      <c r="L68" s="82">
        <f t="shared" si="11"/>
        <v>2.0023756609342089</v>
      </c>
      <c r="M68" s="82">
        <f t="shared" si="12"/>
        <v>1.9989375355753294</v>
      </c>
      <c r="N68" s="82">
        <f t="shared" si="13"/>
        <v>2.21457096669159</v>
      </c>
      <c r="O68" s="82">
        <f t="shared" si="14"/>
        <v>3.2970970605545658</v>
      </c>
      <c r="P68" s="82">
        <f t="shared" si="15"/>
        <v>2.2061897261757415</v>
      </c>
      <c r="Q68" s="82">
        <f t="shared" si="16"/>
        <v>2.2315256381339319</v>
      </c>
      <c r="R68" s="82"/>
      <c r="S68" s="22">
        <f t="shared" si="48"/>
        <v>5.6021511333819403</v>
      </c>
      <c r="T68" s="22">
        <f t="shared" si="17"/>
        <v>6.0309111548338485</v>
      </c>
      <c r="U68" s="22">
        <f t="shared" si="17"/>
        <v>6.0159844628645551</v>
      </c>
      <c r="V68" s="22">
        <f t="shared" si="17"/>
        <v>6.9057920392091869</v>
      </c>
      <c r="W68" s="22">
        <f t="shared" si="17"/>
        <v>10.36263464345633</v>
      </c>
      <c r="X68" s="22">
        <f t="shared" si="17"/>
        <v>6.872857156536182</v>
      </c>
      <c r="Y68" s="22">
        <f t="shared" si="17"/>
        <v>6.9720376168191578</v>
      </c>
      <c r="AA68" s="83">
        <f t="shared" si="18"/>
        <v>5602.1511333819399</v>
      </c>
      <c r="AB68" s="83">
        <f t="shared" si="19"/>
        <v>219372.31805357494</v>
      </c>
      <c r="AC68" s="22">
        <f t="shared" si="20"/>
        <v>3361.2906800291644</v>
      </c>
      <c r="AD68" s="83">
        <f t="shared" si="21"/>
        <v>10584.770803624233</v>
      </c>
      <c r="AE68" s="83">
        <f t="shared" si="49"/>
        <v>3361.2906800291644</v>
      </c>
      <c r="AF68" s="22">
        <f t="shared" si="22"/>
        <v>20000</v>
      </c>
      <c r="AG68" s="83"/>
      <c r="AH68" s="83">
        <f t="shared" si="23"/>
        <v>5602.1511333819399</v>
      </c>
      <c r="AI68" s="83">
        <f t="shared" si="24"/>
        <v>219686.15902678747</v>
      </c>
      <c r="AJ68" s="22">
        <f t="shared" si="25"/>
        <v>3361.2906800291644</v>
      </c>
      <c r="AK68" s="83">
        <f t="shared" si="26"/>
        <v>10584.770803624233</v>
      </c>
      <c r="AL68" s="83">
        <f t="shared" si="50"/>
        <v>3361.2906800291644</v>
      </c>
      <c r="AM68" s="22">
        <f t="shared" si="27"/>
        <v>20000</v>
      </c>
      <c r="AN68" s="83"/>
      <c r="AO68" s="83">
        <f t="shared" si="28"/>
        <v>5602.1511333819399</v>
      </c>
      <c r="AP68" s="83">
        <f t="shared" si="29"/>
        <v>119372.31805357494</v>
      </c>
      <c r="AQ68" s="22">
        <f t="shared" si="30"/>
        <v>3361.2906800291644</v>
      </c>
      <c r="AR68" s="83">
        <f t="shared" si="31"/>
        <v>10584.770803624233</v>
      </c>
      <c r="AS68" s="83">
        <f t="shared" si="51"/>
        <v>3361.2906800291644</v>
      </c>
      <c r="AT68" s="22">
        <f t="shared" si="32"/>
        <v>20000</v>
      </c>
      <c r="AU68" s="22"/>
      <c r="AV68" s="83">
        <f t="shared" si="33"/>
        <v>5602.1511333819399</v>
      </c>
      <c r="AW68" s="83">
        <f t="shared" si="34"/>
        <v>209372.31805357494</v>
      </c>
      <c r="AX68" s="22">
        <f t="shared" si="35"/>
        <v>3361.2906800291644</v>
      </c>
      <c r="AY68" s="83">
        <f t="shared" si="36"/>
        <v>584.77080362423294</v>
      </c>
      <c r="AZ68" s="83">
        <f t="shared" si="52"/>
        <v>3361.2906800291644</v>
      </c>
      <c r="BA68" s="22">
        <f t="shared" si="37"/>
        <v>10000</v>
      </c>
      <c r="BB68" s="83"/>
      <c r="BC68" s="83">
        <f t="shared" si="38"/>
        <v>5602.1511333819399</v>
      </c>
      <c r="BD68" s="83">
        <f t="shared" si="39"/>
        <v>119686.15902678747</v>
      </c>
      <c r="BE68" s="22">
        <f t="shared" si="40"/>
        <v>3361.2906800291644</v>
      </c>
      <c r="BF68" s="83">
        <f t="shared" si="41"/>
        <v>10584.770803624233</v>
      </c>
      <c r="BG68" s="83">
        <f t="shared" si="53"/>
        <v>3361.2906800291644</v>
      </c>
      <c r="BH68" s="22">
        <f t="shared" si="42"/>
        <v>20000</v>
      </c>
      <c r="BJ68" s="83">
        <f t="shared" si="43"/>
        <v>5602.1511333819399</v>
      </c>
      <c r="BK68" s="83">
        <f t="shared" si="44"/>
        <v>118744.6361071499</v>
      </c>
      <c r="BL68" s="22">
        <f t="shared" si="45"/>
        <v>3361.2906800291644</v>
      </c>
      <c r="BM68" s="83">
        <f t="shared" si="46"/>
        <v>10584.770803624233</v>
      </c>
      <c r="BN68" s="83">
        <f t="shared" si="54"/>
        <v>3361.2906800291644</v>
      </c>
      <c r="BO68" s="22">
        <f t="shared" si="47"/>
        <v>20000</v>
      </c>
    </row>
    <row r="69" spans="1:67" x14ac:dyDescent="0.15">
      <c r="A69" s="76">
        <f t="shared" si="55"/>
        <v>1.0699320537907195</v>
      </c>
      <c r="B69" s="75">
        <f t="shared" si="4"/>
        <v>7.3189019203993952</v>
      </c>
      <c r="C69" s="75">
        <f t="shared" si="5"/>
        <v>7.2990897979210416</v>
      </c>
      <c r="D69" s="75">
        <f t="shared" si="6"/>
        <v>9.0745232598605892</v>
      </c>
      <c r="E69" s="75">
        <f t="shared" si="7"/>
        <v>4.3135136096811788</v>
      </c>
      <c r="F69" s="75">
        <f t="shared" si="8"/>
        <v>9.0152460200037297</v>
      </c>
      <c r="G69" s="75">
        <f t="shared" si="9"/>
        <v>9.1953781883516612</v>
      </c>
      <c r="K69" s="73">
        <f t="shared" si="10"/>
        <v>6.722581360058328</v>
      </c>
      <c r="L69" s="82">
        <f t="shared" si="11"/>
        <v>3.2389466079136464</v>
      </c>
      <c r="M69" s="82">
        <f t="shared" si="12"/>
        <v>3.2301788436240368</v>
      </c>
      <c r="N69" s="82">
        <f t="shared" si="13"/>
        <v>4.0158888110028137</v>
      </c>
      <c r="O69" s="82">
        <f t="shared" si="14"/>
        <v>1.9089257413499789</v>
      </c>
      <c r="P69" s="82">
        <f t="shared" si="15"/>
        <v>3.9896559393167315</v>
      </c>
      <c r="Q69" s="82">
        <f t="shared" si="16"/>
        <v>4.069372607471621</v>
      </c>
      <c r="R69" s="82"/>
      <c r="S69" s="22">
        <f t="shared" si="48"/>
        <v>6.722581360058328</v>
      </c>
      <c r="T69" s="22">
        <f t="shared" si="17"/>
        <v>10.208075779718211</v>
      </c>
      <c r="U69" s="22">
        <f t="shared" si="17"/>
        <v>10.18453136704821</v>
      </c>
      <c r="V69" s="22">
        <f t="shared" si="17"/>
        <v>12.075633597498161</v>
      </c>
      <c r="W69" s="22">
        <f t="shared" si="17"/>
        <v>5.6157806867920721</v>
      </c>
      <c r="X69" s="22">
        <f t="shared" si="17"/>
        <v>12.01870889068228</v>
      </c>
      <c r="Y69" s="22">
        <f t="shared" si="17"/>
        <v>12.190549147078585</v>
      </c>
      <c r="AA69" s="83">
        <f t="shared" si="18"/>
        <v>6722.5813600583278</v>
      </c>
      <c r="AB69" s="83">
        <f t="shared" si="19"/>
        <v>219096.13799714792</v>
      </c>
      <c r="AC69" s="22">
        <f t="shared" si="20"/>
        <v>4033.5488160349969</v>
      </c>
      <c r="AD69" s="83">
        <f t="shared" si="21"/>
        <v>6442.0699572188969</v>
      </c>
      <c r="AE69" s="83">
        <f t="shared" si="49"/>
        <v>4033.5488160349969</v>
      </c>
      <c r="AF69" s="22">
        <f t="shared" si="22"/>
        <v>20000</v>
      </c>
      <c r="AG69" s="83"/>
      <c r="AH69" s="83">
        <f t="shared" si="23"/>
        <v>6722.5813600583278</v>
      </c>
      <c r="AI69" s="83">
        <f t="shared" si="24"/>
        <v>219548.06899857396</v>
      </c>
      <c r="AJ69" s="22">
        <f t="shared" si="25"/>
        <v>4033.5488160349969</v>
      </c>
      <c r="AK69" s="83">
        <f t="shared" si="26"/>
        <v>6442.0699572188969</v>
      </c>
      <c r="AL69" s="83">
        <f t="shared" si="50"/>
        <v>4033.5488160349969</v>
      </c>
      <c r="AM69" s="22">
        <f t="shared" si="27"/>
        <v>20000</v>
      </c>
      <c r="AN69" s="83"/>
      <c r="AO69" s="83">
        <f t="shared" si="28"/>
        <v>6722.5813600583278</v>
      </c>
      <c r="AP69" s="83">
        <f t="shared" si="29"/>
        <v>119096.13799714793</v>
      </c>
      <c r="AQ69" s="22">
        <f t="shared" si="30"/>
        <v>4033.5488160349969</v>
      </c>
      <c r="AR69" s="83">
        <f t="shared" si="31"/>
        <v>6442.0699572188969</v>
      </c>
      <c r="AS69" s="83">
        <f t="shared" si="51"/>
        <v>4033.5488160349969</v>
      </c>
      <c r="AT69" s="22">
        <f t="shared" si="32"/>
        <v>20000</v>
      </c>
      <c r="AU69" s="22"/>
      <c r="AV69" s="83">
        <f t="shared" si="33"/>
        <v>6722.5813600583278</v>
      </c>
      <c r="AW69" s="83">
        <f t="shared" si="34"/>
        <v>209096.13799714792</v>
      </c>
      <c r="AX69" s="22">
        <f t="shared" si="35"/>
        <v>4033.5488160349969</v>
      </c>
      <c r="AY69" s="83">
        <f t="shared" si="36"/>
        <v>-3557.9300427811031</v>
      </c>
      <c r="AZ69" s="83">
        <f t="shared" si="52"/>
        <v>4033.5488160349969</v>
      </c>
      <c r="BA69" s="22">
        <f t="shared" si="37"/>
        <v>10000</v>
      </c>
      <c r="BB69" s="83"/>
      <c r="BC69" s="83">
        <f t="shared" si="38"/>
        <v>6722.5813600583278</v>
      </c>
      <c r="BD69" s="83">
        <f t="shared" si="39"/>
        <v>119548.06899857396</v>
      </c>
      <c r="BE69" s="22">
        <f t="shared" si="40"/>
        <v>4033.5488160349969</v>
      </c>
      <c r="BF69" s="83">
        <f t="shared" si="41"/>
        <v>6442.0699572188969</v>
      </c>
      <c r="BG69" s="83">
        <f t="shared" si="53"/>
        <v>4033.5488160349969</v>
      </c>
      <c r="BH69" s="22">
        <f t="shared" si="42"/>
        <v>20000</v>
      </c>
      <c r="BJ69" s="83">
        <f t="shared" si="43"/>
        <v>6722.5813600583278</v>
      </c>
      <c r="BK69" s="83">
        <f t="shared" si="44"/>
        <v>118192.27599429585</v>
      </c>
      <c r="BL69" s="22">
        <f t="shared" si="45"/>
        <v>4033.5488160349969</v>
      </c>
      <c r="BM69" s="83">
        <f t="shared" si="46"/>
        <v>6442.0699572188969</v>
      </c>
      <c r="BN69" s="83">
        <f t="shared" si="54"/>
        <v>4033.5488160349969</v>
      </c>
      <c r="BO69" s="22">
        <f t="shared" si="47"/>
        <v>20000</v>
      </c>
    </row>
    <row r="70" spans="1:67" x14ac:dyDescent="0.15">
      <c r="A70" s="76">
        <f t="shared" si="55"/>
        <v>1.2839184645488635</v>
      </c>
      <c r="B70" s="75">
        <f t="shared" si="4"/>
        <v>14.511812190529517</v>
      </c>
      <c r="C70" s="75">
        <f t="shared" si="5"/>
        <v>14.466955822303641</v>
      </c>
      <c r="D70" s="75">
        <f t="shared" si="6"/>
        <v>12.729497444823595</v>
      </c>
      <c r="E70" s="75">
        <f t="shared" si="7"/>
        <v>3.1947514236346244</v>
      </c>
      <c r="F70" s="75">
        <f t="shared" si="8"/>
        <v>12.678982979109749</v>
      </c>
      <c r="G70" s="75">
        <f t="shared" si="9"/>
        <v>12.830949649370922</v>
      </c>
      <c r="K70" s="73">
        <f t="shared" si="10"/>
        <v>8.0670976320699932</v>
      </c>
      <c r="L70" s="82">
        <f t="shared" si="11"/>
        <v>4.4598167962521149</v>
      </c>
      <c r="M70" s="82">
        <f t="shared" si="12"/>
        <v>4.4460313928988944</v>
      </c>
      <c r="N70" s="82">
        <f t="shared" si="13"/>
        <v>3.9120700962021715</v>
      </c>
      <c r="O70" s="82">
        <f t="shared" si="14"/>
        <v>0.98182128268407265</v>
      </c>
      <c r="P70" s="82">
        <f t="shared" si="15"/>
        <v>3.8965458281309973</v>
      </c>
      <c r="Q70" s="82">
        <f t="shared" si="16"/>
        <v>3.9432487140010051</v>
      </c>
      <c r="R70" s="82"/>
      <c r="S70" s="22">
        <f t="shared" si="48"/>
        <v>8.0670976320699932</v>
      </c>
      <c r="T70" s="22">
        <f t="shared" si="17"/>
        <v>12.986340375987451</v>
      </c>
      <c r="U70" s="22">
        <f t="shared" si="17"/>
        <v>12.959450497509673</v>
      </c>
      <c r="V70" s="22">
        <f t="shared" si="17"/>
        <v>11.848132556877083</v>
      </c>
      <c r="W70" s="22">
        <f t="shared" si="17"/>
        <v>-0.15935116091623291</v>
      </c>
      <c r="X70" s="22">
        <f t="shared" si="17"/>
        <v>11.813595768759857</v>
      </c>
      <c r="Y70" s="22">
        <f t="shared" si="17"/>
        <v>11.917083407108379</v>
      </c>
      <c r="AA70" s="83">
        <f t="shared" si="18"/>
        <v>8067.0976320699929</v>
      </c>
      <c r="AB70" s="83">
        <f t="shared" si="19"/>
        <v>218698.43871589302</v>
      </c>
      <c r="AC70" s="22">
        <f t="shared" si="20"/>
        <v>4840.2585792419959</v>
      </c>
      <c r="AD70" s="83">
        <f t="shared" si="21"/>
        <v>476.58073839521239</v>
      </c>
      <c r="AE70" s="83">
        <f t="shared" si="49"/>
        <v>4840.2585792419959</v>
      </c>
      <c r="AF70" s="22">
        <f t="shared" si="22"/>
        <v>20000</v>
      </c>
      <c r="AG70" s="83"/>
      <c r="AH70" s="83">
        <f t="shared" si="23"/>
        <v>8067.0976320699929</v>
      </c>
      <c r="AI70" s="83">
        <f t="shared" si="24"/>
        <v>219349.21935794651</v>
      </c>
      <c r="AJ70" s="22">
        <f t="shared" si="25"/>
        <v>4840.2585792419959</v>
      </c>
      <c r="AK70" s="83">
        <f t="shared" si="26"/>
        <v>476.58073839521239</v>
      </c>
      <c r="AL70" s="83">
        <f t="shared" si="50"/>
        <v>4840.2585792419959</v>
      </c>
      <c r="AM70" s="22">
        <f t="shared" si="27"/>
        <v>20000</v>
      </c>
      <c r="AN70" s="83"/>
      <c r="AO70" s="83">
        <f t="shared" si="28"/>
        <v>8067.0976320699929</v>
      </c>
      <c r="AP70" s="83">
        <f t="shared" si="29"/>
        <v>118698.43871589302</v>
      </c>
      <c r="AQ70" s="22">
        <f t="shared" si="30"/>
        <v>4840.2585792419959</v>
      </c>
      <c r="AR70" s="83">
        <f t="shared" si="31"/>
        <v>476.58073839521239</v>
      </c>
      <c r="AS70" s="83">
        <f t="shared" si="51"/>
        <v>4840.2585792419959</v>
      </c>
      <c r="AT70" s="22">
        <f t="shared" si="32"/>
        <v>20000</v>
      </c>
      <c r="AU70" s="22"/>
      <c r="AV70" s="83">
        <f t="shared" si="33"/>
        <v>8067.0976320699929</v>
      </c>
      <c r="AW70" s="83">
        <f t="shared" si="34"/>
        <v>208698.43871589302</v>
      </c>
      <c r="AX70" s="22">
        <f t="shared" si="35"/>
        <v>4840.2585792419959</v>
      </c>
      <c r="AY70" s="83">
        <f t="shared" si="36"/>
        <v>-9523.4192616047876</v>
      </c>
      <c r="AZ70" s="83">
        <f t="shared" si="52"/>
        <v>4840.2585792419959</v>
      </c>
      <c r="BA70" s="22">
        <f t="shared" si="37"/>
        <v>10000</v>
      </c>
      <c r="BB70" s="83"/>
      <c r="BC70" s="83">
        <f t="shared" si="38"/>
        <v>8067.0976320699929</v>
      </c>
      <c r="BD70" s="83">
        <f t="shared" si="39"/>
        <v>119349.21935794651</v>
      </c>
      <c r="BE70" s="22">
        <f t="shared" si="40"/>
        <v>4840.2585792419959</v>
      </c>
      <c r="BF70" s="83">
        <f t="shared" si="41"/>
        <v>476.58073839521239</v>
      </c>
      <c r="BG70" s="83">
        <f t="shared" si="53"/>
        <v>4840.2585792419959</v>
      </c>
      <c r="BH70" s="22">
        <f t="shared" si="42"/>
        <v>20000</v>
      </c>
      <c r="BJ70" s="83">
        <f t="shared" si="43"/>
        <v>8067.0976320699929</v>
      </c>
      <c r="BK70" s="83">
        <f t="shared" si="44"/>
        <v>117396.87743178602</v>
      </c>
      <c r="BL70" s="22">
        <f t="shared" si="45"/>
        <v>4840.2585792419959</v>
      </c>
      <c r="BM70" s="83">
        <f t="shared" si="46"/>
        <v>476.58073839521239</v>
      </c>
      <c r="BN70" s="83">
        <f t="shared" si="54"/>
        <v>4840.2585792419959</v>
      </c>
      <c r="BO70" s="22">
        <f t="shared" si="47"/>
        <v>20000</v>
      </c>
    </row>
    <row r="71" spans="1:67" x14ac:dyDescent="0.15">
      <c r="A71" s="76">
        <f t="shared" si="55"/>
        <v>1.5407021574586361</v>
      </c>
      <c r="B71" s="75">
        <f t="shared" si="4"/>
        <v>8.1617611175319276</v>
      </c>
      <c r="C71" s="75">
        <f t="shared" si="5"/>
        <v>8.1306681161314458</v>
      </c>
      <c r="D71" s="75">
        <f t="shared" si="6"/>
        <v>6.8244062195040431</v>
      </c>
      <c r="E71" s="75">
        <f t="shared" si="7"/>
        <v>2.7104759657230622</v>
      </c>
      <c r="F71" s="75">
        <f t="shared" si="8"/>
        <v>6.7828443310264923</v>
      </c>
      <c r="G71" s="75">
        <f t="shared" si="9"/>
        <v>6.90896747149832</v>
      </c>
      <c r="K71" s="73">
        <f t="shared" si="10"/>
        <v>9.6805171584839922</v>
      </c>
      <c r="L71" s="82">
        <f t="shared" si="11"/>
        <v>1.7418740812781697</v>
      </c>
      <c r="M71" s="82">
        <f t="shared" si="12"/>
        <v>1.7352382471158212</v>
      </c>
      <c r="N71" s="82">
        <f t="shared" si="13"/>
        <v>1.4564572697837392</v>
      </c>
      <c r="O71" s="82">
        <f t="shared" si="14"/>
        <v>0.57846679958309244</v>
      </c>
      <c r="P71" s="82">
        <f t="shared" si="15"/>
        <v>1.4475871772552396</v>
      </c>
      <c r="Q71" s="82">
        <f t="shared" si="16"/>
        <v>1.4745042391826433</v>
      </c>
      <c r="R71" s="82"/>
      <c r="S71" s="22">
        <f t="shared" si="48"/>
        <v>9.6805171584839922</v>
      </c>
      <c r="T71" s="22">
        <f t="shared" si="17"/>
        <v>4.8203351399241763</v>
      </c>
      <c r="U71" s="22">
        <f t="shared" si="17"/>
        <v>4.787182231578349</v>
      </c>
      <c r="V71" s="22">
        <f t="shared" si="17"/>
        <v>3.2659549523687565</v>
      </c>
      <c r="W71" s="22">
        <f t="shared" si="17"/>
        <v>-4.7544312362887364</v>
      </c>
      <c r="X71" s="22">
        <f t="shared" si="17"/>
        <v>3.2128945493483148</v>
      </c>
      <c r="Y71" s="22">
        <f t="shared" si="17"/>
        <v>3.37292050962454</v>
      </c>
      <c r="AA71" s="83">
        <f t="shared" si="18"/>
        <v>9680.5171584839918</v>
      </c>
      <c r="AB71" s="83">
        <f t="shared" si="19"/>
        <v>218125.75175088595</v>
      </c>
      <c r="AC71" s="22">
        <f t="shared" si="20"/>
        <v>5808.3102950903949</v>
      </c>
      <c r="AD71" s="83">
        <f t="shared" si="21"/>
        <v>-8113.7237367108974</v>
      </c>
      <c r="AE71" s="83">
        <f t="shared" si="49"/>
        <v>5808.3102950903949</v>
      </c>
      <c r="AF71" s="22">
        <f t="shared" si="22"/>
        <v>20000</v>
      </c>
      <c r="AG71" s="83"/>
      <c r="AH71" s="83">
        <f t="shared" si="23"/>
        <v>9680.5171584839918</v>
      </c>
      <c r="AI71" s="83">
        <f t="shared" si="24"/>
        <v>219062.87587544296</v>
      </c>
      <c r="AJ71" s="22">
        <f t="shared" si="25"/>
        <v>5808.3102950903949</v>
      </c>
      <c r="AK71" s="83">
        <f t="shared" si="26"/>
        <v>-8113.7237367108974</v>
      </c>
      <c r="AL71" s="83">
        <f t="shared" si="50"/>
        <v>5808.3102950903949</v>
      </c>
      <c r="AM71" s="22">
        <f t="shared" si="27"/>
        <v>20000</v>
      </c>
      <c r="AN71" s="83"/>
      <c r="AO71" s="83">
        <f t="shared" si="28"/>
        <v>9680.5171584839918</v>
      </c>
      <c r="AP71" s="83">
        <f t="shared" si="29"/>
        <v>118125.75175088595</v>
      </c>
      <c r="AQ71" s="22">
        <f t="shared" si="30"/>
        <v>5808.3102950903949</v>
      </c>
      <c r="AR71" s="83">
        <f t="shared" si="31"/>
        <v>-8113.7237367108974</v>
      </c>
      <c r="AS71" s="83">
        <f t="shared" si="51"/>
        <v>5808.3102950903949</v>
      </c>
      <c r="AT71" s="22">
        <f t="shared" si="32"/>
        <v>20000</v>
      </c>
      <c r="AU71" s="22"/>
      <c r="AV71" s="83">
        <f t="shared" si="33"/>
        <v>9680.5171584839918</v>
      </c>
      <c r="AW71" s="83">
        <f t="shared" si="34"/>
        <v>208125.75175088595</v>
      </c>
      <c r="AX71" s="22">
        <f t="shared" si="35"/>
        <v>5808.3102950903949</v>
      </c>
      <c r="AY71" s="83">
        <f t="shared" si="36"/>
        <v>-18113.723736710897</v>
      </c>
      <c r="AZ71" s="83">
        <f t="shared" si="52"/>
        <v>5808.3102950903949</v>
      </c>
      <c r="BA71" s="22">
        <f t="shared" si="37"/>
        <v>10000</v>
      </c>
      <c r="BB71" s="83"/>
      <c r="BC71" s="83">
        <f t="shared" si="38"/>
        <v>9680.5171584839918</v>
      </c>
      <c r="BD71" s="83">
        <f t="shared" si="39"/>
        <v>119062.87587544297</v>
      </c>
      <c r="BE71" s="22">
        <f t="shared" si="40"/>
        <v>5808.3102950903949</v>
      </c>
      <c r="BF71" s="83">
        <f t="shared" si="41"/>
        <v>-8113.7237367108974</v>
      </c>
      <c r="BG71" s="83">
        <f t="shared" si="53"/>
        <v>5808.3102950903949</v>
      </c>
      <c r="BH71" s="22">
        <f t="shared" si="42"/>
        <v>20000</v>
      </c>
      <c r="BJ71" s="83">
        <f t="shared" si="43"/>
        <v>9680.5171584839918</v>
      </c>
      <c r="BK71" s="83">
        <f t="shared" si="44"/>
        <v>116251.50350177188</v>
      </c>
      <c r="BL71" s="22">
        <f t="shared" si="45"/>
        <v>5808.3102950903949</v>
      </c>
      <c r="BM71" s="83">
        <f t="shared" si="46"/>
        <v>-8113.7237367108974</v>
      </c>
      <c r="BN71" s="83">
        <f t="shared" si="54"/>
        <v>5808.3102950903949</v>
      </c>
      <c r="BO71" s="22">
        <f t="shared" si="47"/>
        <v>20000</v>
      </c>
    </row>
    <row r="72" spans="1:67" x14ac:dyDescent="0.15">
      <c r="A72" s="76">
        <f t="shared" si="55"/>
        <v>1.8488425889503632</v>
      </c>
      <c r="B72" s="75">
        <f t="shared" si="4"/>
        <v>5.7356351004680626</v>
      </c>
      <c r="C72" s="75">
        <f t="shared" si="5"/>
        <v>5.7024953917200589</v>
      </c>
      <c r="D72" s="75">
        <f t="shared" si="6"/>
        <v>5.0177639256507724</v>
      </c>
      <c r="E72" s="75">
        <f t="shared" si="7"/>
        <v>2.5229705393057973</v>
      </c>
      <c r="F72" s="75">
        <f t="shared" si="8"/>
        <v>4.9681234220469008</v>
      </c>
      <c r="G72" s="75">
        <f t="shared" si="9"/>
        <v>5.1200009021939064</v>
      </c>
      <c r="K72" s="73">
        <f t="shared" si="10"/>
        <v>11.616620590180789</v>
      </c>
      <c r="L72" s="82">
        <f t="shared" si="11"/>
        <v>0.85006453819836647</v>
      </c>
      <c r="M72" s="82">
        <f t="shared" si="12"/>
        <v>0.84515298250846538</v>
      </c>
      <c r="N72" s="82">
        <f t="shared" si="13"/>
        <v>0.74367059611213104</v>
      </c>
      <c r="O72" s="82">
        <f t="shared" si="14"/>
        <v>0.37392333173497155</v>
      </c>
      <c r="P72" s="82">
        <f t="shared" si="15"/>
        <v>0.73631349772061783</v>
      </c>
      <c r="Q72" s="82">
        <f t="shared" si="16"/>
        <v>0.75882288992608782</v>
      </c>
      <c r="R72" s="82"/>
      <c r="S72" s="22">
        <f t="shared" si="48"/>
        <v>11.616620590180789</v>
      </c>
      <c r="T72" s="22">
        <f t="shared" ref="T72:Y105" si="56">20*LOG10(L72)</f>
        <v>-1.4109620146692237</v>
      </c>
      <c r="U72" s="22">
        <f t="shared" si="56"/>
        <v>-1.461293431758002</v>
      </c>
      <c r="V72" s="22">
        <f t="shared" si="56"/>
        <v>-2.5723877936387645</v>
      </c>
      <c r="W72" s="22">
        <f t="shared" si="56"/>
        <v>-8.5443487056016352</v>
      </c>
      <c r="X72" s="22">
        <f t="shared" si="56"/>
        <v>-2.6587447637417294</v>
      </c>
      <c r="Y72" s="22">
        <f t="shared" si="56"/>
        <v>-2.3971915414699594</v>
      </c>
      <c r="AA72" s="83">
        <f t="shared" si="18"/>
        <v>11616.620590180788</v>
      </c>
      <c r="AB72" s="83">
        <f t="shared" si="19"/>
        <v>217301.08252127576</v>
      </c>
      <c r="AC72" s="22">
        <f t="shared" si="20"/>
        <v>6969.9723541084732</v>
      </c>
      <c r="AD72" s="83">
        <f t="shared" si="21"/>
        <v>-20483.762180863676</v>
      </c>
      <c r="AE72" s="83">
        <f t="shared" si="49"/>
        <v>6969.9723541084732</v>
      </c>
      <c r="AF72" s="22">
        <f t="shared" si="22"/>
        <v>20000</v>
      </c>
      <c r="AG72" s="83"/>
      <c r="AH72" s="83">
        <f t="shared" si="23"/>
        <v>11616.620590180788</v>
      </c>
      <c r="AI72" s="83">
        <f t="shared" si="24"/>
        <v>218650.54126063787</v>
      </c>
      <c r="AJ72" s="22">
        <f t="shared" si="25"/>
        <v>6969.9723541084732</v>
      </c>
      <c r="AK72" s="83">
        <f t="shared" si="26"/>
        <v>-20483.762180863676</v>
      </c>
      <c r="AL72" s="83">
        <f t="shared" si="50"/>
        <v>6969.9723541084732</v>
      </c>
      <c r="AM72" s="22">
        <f t="shared" si="27"/>
        <v>20000</v>
      </c>
      <c r="AN72" s="83"/>
      <c r="AO72" s="83">
        <f t="shared" si="28"/>
        <v>11616.620590180788</v>
      </c>
      <c r="AP72" s="83">
        <f t="shared" si="29"/>
        <v>117301.08252127575</v>
      </c>
      <c r="AQ72" s="22">
        <f t="shared" si="30"/>
        <v>6969.9723541084732</v>
      </c>
      <c r="AR72" s="83">
        <f t="shared" si="31"/>
        <v>-20483.762180863676</v>
      </c>
      <c r="AS72" s="83">
        <f t="shared" si="51"/>
        <v>6969.9723541084732</v>
      </c>
      <c r="AT72" s="22">
        <f t="shared" si="32"/>
        <v>20000</v>
      </c>
      <c r="AU72" s="22"/>
      <c r="AV72" s="83">
        <f t="shared" si="33"/>
        <v>11616.620590180788</v>
      </c>
      <c r="AW72" s="83">
        <f t="shared" si="34"/>
        <v>207301.08252127576</v>
      </c>
      <c r="AX72" s="22">
        <f t="shared" si="35"/>
        <v>6969.9723541084732</v>
      </c>
      <c r="AY72" s="83">
        <f t="shared" si="36"/>
        <v>-30483.762180863676</v>
      </c>
      <c r="AZ72" s="83">
        <f t="shared" si="52"/>
        <v>6969.9723541084732</v>
      </c>
      <c r="BA72" s="22">
        <f t="shared" si="37"/>
        <v>10000</v>
      </c>
      <c r="BB72" s="83"/>
      <c r="BC72" s="83">
        <f t="shared" si="38"/>
        <v>11616.620590180788</v>
      </c>
      <c r="BD72" s="83">
        <f t="shared" si="39"/>
        <v>118650.54126063788</v>
      </c>
      <c r="BE72" s="22">
        <f t="shared" si="40"/>
        <v>6969.9723541084732</v>
      </c>
      <c r="BF72" s="83">
        <f t="shared" si="41"/>
        <v>-20483.762180863676</v>
      </c>
      <c r="BG72" s="83">
        <f t="shared" si="53"/>
        <v>6969.9723541084732</v>
      </c>
      <c r="BH72" s="22">
        <f t="shared" si="42"/>
        <v>20000</v>
      </c>
      <c r="BJ72" s="83">
        <f t="shared" si="43"/>
        <v>11616.620590180788</v>
      </c>
      <c r="BK72" s="83">
        <f t="shared" si="44"/>
        <v>114602.16504255151</v>
      </c>
      <c r="BL72" s="22">
        <f t="shared" si="45"/>
        <v>6969.9723541084732</v>
      </c>
      <c r="BM72" s="83">
        <f t="shared" si="46"/>
        <v>-20483.762180863676</v>
      </c>
      <c r="BN72" s="83">
        <f t="shared" si="54"/>
        <v>6969.9723541084732</v>
      </c>
      <c r="BO72" s="22">
        <f t="shared" si="47"/>
        <v>20000</v>
      </c>
    </row>
    <row r="73" spans="1:67" x14ac:dyDescent="0.15">
      <c r="A73" s="76">
        <f t="shared" si="55"/>
        <v>2.2186111067404357</v>
      </c>
      <c r="B73" s="75">
        <f t="shared" si="4"/>
        <v>4.8033936625898415</v>
      </c>
      <c r="C73" s="75">
        <f t="shared" si="5"/>
        <v>4.7622844208435371</v>
      </c>
      <c r="D73" s="75">
        <f t="shared" si="6"/>
        <v>4.3101150999212647</v>
      </c>
      <c r="E73" s="75">
        <f t="shared" si="7"/>
        <v>2.4993695496612891</v>
      </c>
      <c r="F73" s="75">
        <f t="shared" si="8"/>
        <v>4.245266711111614</v>
      </c>
      <c r="G73" s="75">
        <f t="shared" si="9"/>
        <v>4.4458168519607213</v>
      </c>
      <c r="K73" s="73">
        <f t="shared" si="10"/>
        <v>13.939944708216947</v>
      </c>
      <c r="L73" s="82">
        <f t="shared" si="11"/>
        <v>0.49437451419106287</v>
      </c>
      <c r="M73" s="82">
        <f t="shared" si="12"/>
        <v>0.49014347196452707</v>
      </c>
      <c r="N73" s="82">
        <f t="shared" si="13"/>
        <v>0.44360533579133549</v>
      </c>
      <c r="O73" s="82">
        <f t="shared" si="14"/>
        <v>0.25723992112516647</v>
      </c>
      <c r="P73" s="82">
        <f t="shared" si="15"/>
        <v>0.43693101489119118</v>
      </c>
      <c r="Q73" s="82">
        <f t="shared" si="16"/>
        <v>0.45757202110840173</v>
      </c>
      <c r="R73" s="82"/>
      <c r="S73" s="22">
        <f t="shared" si="48"/>
        <v>13.939944708216947</v>
      </c>
      <c r="T73" s="22">
        <f t="shared" si="56"/>
        <v>-6.1188785185579073</v>
      </c>
      <c r="U73" s="22">
        <f t="shared" si="56"/>
        <v>-6.1935355438283093</v>
      </c>
      <c r="V73" s="22">
        <f t="shared" si="56"/>
        <v>-7.0600647738661628</v>
      </c>
      <c r="W73" s="22">
        <f t="shared" si="56"/>
        <v>-11.793232645050066</v>
      </c>
      <c r="X73" s="22">
        <f t="shared" si="56"/>
        <v>-7.1917425291077688</v>
      </c>
      <c r="Y73" s="22">
        <f t="shared" si="56"/>
        <v>-6.7908107791310988</v>
      </c>
      <c r="AA73" s="83">
        <f t="shared" si="18"/>
        <v>13939.944708216946</v>
      </c>
      <c r="AB73" s="83">
        <f t="shared" si="19"/>
        <v>216113.55883063708</v>
      </c>
      <c r="AC73" s="22">
        <f t="shared" si="20"/>
        <v>8363.9668249301685</v>
      </c>
      <c r="AD73" s="83">
        <f t="shared" si="21"/>
        <v>-38296.617540443694</v>
      </c>
      <c r="AE73" s="83">
        <f t="shared" si="49"/>
        <v>8363.9668249301685</v>
      </c>
      <c r="AF73" s="22">
        <f t="shared" si="22"/>
        <v>20000</v>
      </c>
      <c r="AG73" s="83"/>
      <c r="AH73" s="83">
        <f t="shared" si="23"/>
        <v>13939.944708216946</v>
      </c>
      <c r="AI73" s="83">
        <f t="shared" si="24"/>
        <v>218056.77941531854</v>
      </c>
      <c r="AJ73" s="22">
        <f t="shared" si="25"/>
        <v>8363.9668249301685</v>
      </c>
      <c r="AK73" s="83">
        <f t="shared" si="26"/>
        <v>-38296.617540443694</v>
      </c>
      <c r="AL73" s="83">
        <f t="shared" si="50"/>
        <v>8363.9668249301685</v>
      </c>
      <c r="AM73" s="22">
        <f t="shared" si="27"/>
        <v>20000</v>
      </c>
      <c r="AN73" s="83"/>
      <c r="AO73" s="83">
        <f t="shared" si="28"/>
        <v>13939.944708216946</v>
      </c>
      <c r="AP73" s="83">
        <f t="shared" si="29"/>
        <v>116113.55883063709</v>
      </c>
      <c r="AQ73" s="22">
        <f t="shared" si="30"/>
        <v>8363.9668249301685</v>
      </c>
      <c r="AR73" s="83">
        <f t="shared" si="31"/>
        <v>-38296.617540443694</v>
      </c>
      <c r="AS73" s="83">
        <f t="shared" si="51"/>
        <v>8363.9668249301685</v>
      </c>
      <c r="AT73" s="22">
        <f t="shared" si="32"/>
        <v>20000</v>
      </c>
      <c r="AU73" s="22"/>
      <c r="AV73" s="83">
        <f t="shared" si="33"/>
        <v>13939.944708216946</v>
      </c>
      <c r="AW73" s="83">
        <f t="shared" si="34"/>
        <v>206113.55883063708</v>
      </c>
      <c r="AX73" s="22">
        <f t="shared" si="35"/>
        <v>8363.9668249301685</v>
      </c>
      <c r="AY73" s="83">
        <f t="shared" si="36"/>
        <v>-48296.617540443694</v>
      </c>
      <c r="AZ73" s="83">
        <f t="shared" si="52"/>
        <v>8363.9668249301685</v>
      </c>
      <c r="BA73" s="22">
        <f t="shared" si="37"/>
        <v>10000</v>
      </c>
      <c r="BB73" s="83"/>
      <c r="BC73" s="83">
        <f t="shared" si="38"/>
        <v>13939.944708216946</v>
      </c>
      <c r="BD73" s="83">
        <f t="shared" si="39"/>
        <v>118056.77941531854</v>
      </c>
      <c r="BE73" s="22">
        <f t="shared" si="40"/>
        <v>8363.9668249301685</v>
      </c>
      <c r="BF73" s="83">
        <f t="shared" si="41"/>
        <v>-38296.617540443694</v>
      </c>
      <c r="BG73" s="83">
        <f t="shared" si="53"/>
        <v>8363.9668249301685</v>
      </c>
      <c r="BH73" s="22">
        <f t="shared" si="42"/>
        <v>20000</v>
      </c>
      <c r="BJ73" s="83">
        <f t="shared" si="43"/>
        <v>13939.944708216946</v>
      </c>
      <c r="BK73" s="83">
        <f t="shared" si="44"/>
        <v>112227.11766127417</v>
      </c>
      <c r="BL73" s="22">
        <f t="shared" si="45"/>
        <v>8363.9668249301685</v>
      </c>
      <c r="BM73" s="83">
        <f t="shared" si="46"/>
        <v>-38296.617540443694</v>
      </c>
      <c r="BN73" s="83">
        <f t="shared" si="54"/>
        <v>8363.9668249301685</v>
      </c>
      <c r="BO73" s="22">
        <f t="shared" si="47"/>
        <v>20000</v>
      </c>
    </row>
    <row r="74" spans="1:67" x14ac:dyDescent="0.15">
      <c r="A74" s="76">
        <f t="shared" si="55"/>
        <v>2.6623333280885229</v>
      </c>
      <c r="B74" s="75">
        <f t="shared" si="4"/>
        <v>4.4139553195349857</v>
      </c>
      <c r="C74" s="75">
        <f t="shared" si="5"/>
        <v>4.358652650962993</v>
      </c>
      <c r="D74" s="75">
        <f t="shared" si="6"/>
        <v>4.0282125172879013</v>
      </c>
      <c r="E74" s="75">
        <f t="shared" si="7"/>
        <v>2.5936088905457515</v>
      </c>
      <c r="F74" s="75">
        <f t="shared" si="8"/>
        <v>3.9383689133217992</v>
      </c>
      <c r="G74" s="75">
        <f t="shared" si="9"/>
        <v>4.2205029519811514</v>
      </c>
      <c r="K74" s="73">
        <f t="shared" si="10"/>
        <v>16.727933649860336</v>
      </c>
      <c r="L74" s="82">
        <f t="shared" si="11"/>
        <v>0.31548109091068999</v>
      </c>
      <c r="M74" s="82">
        <f t="shared" si="12"/>
        <v>0.31152841242884188</v>
      </c>
      <c r="N74" s="82">
        <f t="shared" si="13"/>
        <v>0.28791068041621365</v>
      </c>
      <c r="O74" s="82">
        <f t="shared" si="14"/>
        <v>0.18537445509784625</v>
      </c>
      <c r="P74" s="82">
        <f t="shared" si="15"/>
        <v>0.2814892383900266</v>
      </c>
      <c r="Q74" s="82">
        <f t="shared" si="16"/>
        <v>0.30165436192568312</v>
      </c>
      <c r="R74" s="82"/>
      <c r="S74" s="22">
        <f t="shared" si="48"/>
        <v>16.727933649860336</v>
      </c>
      <c r="T74" s="22">
        <f t="shared" si="56"/>
        <v>-10.020533321693055</v>
      </c>
      <c r="U74" s="22">
        <f t="shared" si="56"/>
        <v>-10.130046761903554</v>
      </c>
      <c r="V74" s="22">
        <f t="shared" si="56"/>
        <v>-10.814844482237566</v>
      </c>
      <c r="W74" s="22">
        <f t="shared" si="56"/>
        <v>-14.639002251122491</v>
      </c>
      <c r="X74" s="22">
        <f t="shared" si="56"/>
        <v>-11.010764079994576</v>
      </c>
      <c r="Y74" s="22">
        <f t="shared" si="56"/>
        <v>-10.409807807975348</v>
      </c>
      <c r="AA74" s="83">
        <f t="shared" si="18"/>
        <v>16727.933649860337</v>
      </c>
      <c r="AB74" s="83">
        <f t="shared" si="19"/>
        <v>214403.52471611742</v>
      </c>
      <c r="AC74" s="22">
        <f t="shared" si="20"/>
        <v>10036.760189916202</v>
      </c>
      <c r="AD74" s="83">
        <f t="shared" si="21"/>
        <v>-63947.129258238929</v>
      </c>
      <c r="AE74" s="83">
        <f t="shared" si="49"/>
        <v>10036.760189916202</v>
      </c>
      <c r="AF74" s="22">
        <f t="shared" si="22"/>
        <v>20000</v>
      </c>
      <c r="AG74" s="83"/>
      <c r="AH74" s="83">
        <f t="shared" si="23"/>
        <v>16727.933649860337</v>
      </c>
      <c r="AI74" s="83">
        <f t="shared" si="24"/>
        <v>217201.76235805871</v>
      </c>
      <c r="AJ74" s="22">
        <f t="shared" si="25"/>
        <v>10036.760189916202</v>
      </c>
      <c r="AK74" s="83">
        <f t="shared" si="26"/>
        <v>-63947.129258238929</v>
      </c>
      <c r="AL74" s="83">
        <f t="shared" si="50"/>
        <v>10036.760189916202</v>
      </c>
      <c r="AM74" s="22">
        <f t="shared" si="27"/>
        <v>20000</v>
      </c>
      <c r="AN74" s="83"/>
      <c r="AO74" s="83">
        <f t="shared" si="28"/>
        <v>16727.933649860337</v>
      </c>
      <c r="AP74" s="83">
        <f t="shared" si="29"/>
        <v>114403.5247161174</v>
      </c>
      <c r="AQ74" s="22">
        <f t="shared" si="30"/>
        <v>10036.760189916202</v>
      </c>
      <c r="AR74" s="83">
        <f t="shared" si="31"/>
        <v>-63947.129258238929</v>
      </c>
      <c r="AS74" s="83">
        <f t="shared" si="51"/>
        <v>10036.760189916202</v>
      </c>
      <c r="AT74" s="22">
        <f t="shared" si="32"/>
        <v>20000</v>
      </c>
      <c r="AU74" s="22"/>
      <c r="AV74" s="83">
        <f t="shared" si="33"/>
        <v>16727.933649860337</v>
      </c>
      <c r="AW74" s="83">
        <f t="shared" si="34"/>
        <v>204403.52471611742</v>
      </c>
      <c r="AX74" s="22">
        <f t="shared" si="35"/>
        <v>10036.760189916202</v>
      </c>
      <c r="AY74" s="83">
        <f t="shared" si="36"/>
        <v>-73947.129258238929</v>
      </c>
      <c r="AZ74" s="83">
        <f t="shared" si="52"/>
        <v>10036.760189916202</v>
      </c>
      <c r="BA74" s="22">
        <f t="shared" si="37"/>
        <v>10000</v>
      </c>
      <c r="BB74" s="83"/>
      <c r="BC74" s="83">
        <f t="shared" si="38"/>
        <v>16727.933649860337</v>
      </c>
      <c r="BD74" s="83">
        <f t="shared" si="39"/>
        <v>117201.76235805871</v>
      </c>
      <c r="BE74" s="22">
        <f t="shared" si="40"/>
        <v>10036.760189916202</v>
      </c>
      <c r="BF74" s="83">
        <f t="shared" si="41"/>
        <v>-63947.129258238929</v>
      </c>
      <c r="BG74" s="83">
        <f t="shared" si="53"/>
        <v>10036.760189916202</v>
      </c>
      <c r="BH74" s="22">
        <f t="shared" si="42"/>
        <v>20000</v>
      </c>
      <c r="BJ74" s="83">
        <f t="shared" si="43"/>
        <v>16727.933649860337</v>
      </c>
      <c r="BK74" s="83">
        <f t="shared" si="44"/>
        <v>108807.04943223481</v>
      </c>
      <c r="BL74" s="22">
        <f t="shared" si="45"/>
        <v>10036.760189916202</v>
      </c>
      <c r="BM74" s="83">
        <f t="shared" si="46"/>
        <v>-63947.129258238929</v>
      </c>
      <c r="BN74" s="83">
        <f t="shared" si="54"/>
        <v>10036.760189916202</v>
      </c>
      <c r="BO74" s="22">
        <f t="shared" si="47"/>
        <v>20000</v>
      </c>
    </row>
    <row r="75" spans="1:67" x14ac:dyDescent="0.15">
      <c r="A75" s="76">
        <f t="shared" si="55"/>
        <v>3.1947999937062272</v>
      </c>
      <c r="B75" s="75">
        <f t="shared" si="4"/>
        <v>4.3033613853805912</v>
      </c>
      <c r="C75" s="75">
        <f t="shared" si="5"/>
        <v>4.2248325906904558</v>
      </c>
      <c r="D75" s="75">
        <f t="shared" si="6"/>
        <v>3.9833005996604225</v>
      </c>
      <c r="E75" s="75">
        <f t="shared" si="7"/>
        <v>2.7947409689399172</v>
      </c>
      <c r="F75" s="75">
        <f t="shared" si="8"/>
        <v>3.8531564427513274</v>
      </c>
      <c r="G75" s="75">
        <f t="shared" si="9"/>
        <v>4.2710865527465049</v>
      </c>
      <c r="K75" s="73">
        <f t="shared" si="10"/>
        <v>20.073520379832402</v>
      </c>
      <c r="L75" s="82">
        <f t="shared" si="11"/>
        <v>0.21359482566613205</v>
      </c>
      <c r="M75" s="82">
        <f t="shared" si="12"/>
        <v>0.20969709486699595</v>
      </c>
      <c r="N75" s="82">
        <f t="shared" si="13"/>
        <v>0.19770879574526393</v>
      </c>
      <c r="O75" s="82">
        <f t="shared" si="14"/>
        <v>0.13871533356939411</v>
      </c>
      <c r="P75" s="82">
        <f t="shared" si="15"/>
        <v>0.191249166628151</v>
      </c>
      <c r="Q75" s="82">
        <f t="shared" si="16"/>
        <v>0.21199288322334756</v>
      </c>
      <c r="R75" s="82"/>
      <c r="S75" s="22">
        <f t="shared" si="48"/>
        <v>20.073520379832402</v>
      </c>
      <c r="T75" s="22">
        <f t="shared" si="56"/>
        <v>-13.408185445965614</v>
      </c>
      <c r="U75" s="22">
        <f t="shared" si="56"/>
        <v>-13.568151723737707</v>
      </c>
      <c r="V75" s="22">
        <f t="shared" si="56"/>
        <v>-14.0794801839178</v>
      </c>
      <c r="W75" s="22">
        <f t="shared" si="56"/>
        <v>-17.157510588699537</v>
      </c>
      <c r="X75" s="22">
        <f t="shared" si="56"/>
        <v>-14.368008972332277</v>
      </c>
      <c r="Y75" s="22">
        <f t="shared" si="56"/>
        <v>-13.473574369038978</v>
      </c>
      <c r="AA75" s="83">
        <f t="shared" si="18"/>
        <v>20073.520379832404</v>
      </c>
      <c r="AB75" s="83">
        <f t="shared" si="19"/>
        <v>211941.07559120905</v>
      </c>
      <c r="AC75" s="22">
        <f t="shared" si="20"/>
        <v>12044.112227899441</v>
      </c>
      <c r="AD75" s="83">
        <f t="shared" si="21"/>
        <v>-100883.86613186404</v>
      </c>
      <c r="AE75" s="83">
        <f t="shared" si="49"/>
        <v>12044.112227899441</v>
      </c>
      <c r="AF75" s="22">
        <f t="shared" si="22"/>
        <v>20000</v>
      </c>
      <c r="AG75" s="83"/>
      <c r="AH75" s="83">
        <f t="shared" si="23"/>
        <v>20073.520379832404</v>
      </c>
      <c r="AI75" s="83">
        <f t="shared" si="24"/>
        <v>215970.53779560453</v>
      </c>
      <c r="AJ75" s="22">
        <f t="shared" si="25"/>
        <v>12044.112227899441</v>
      </c>
      <c r="AK75" s="83">
        <f t="shared" si="26"/>
        <v>-100883.86613186404</v>
      </c>
      <c r="AL75" s="83">
        <f t="shared" si="50"/>
        <v>12044.112227899441</v>
      </c>
      <c r="AM75" s="22">
        <f t="shared" si="27"/>
        <v>20000</v>
      </c>
      <c r="AN75" s="83"/>
      <c r="AO75" s="83">
        <f t="shared" si="28"/>
        <v>20073.520379832404</v>
      </c>
      <c r="AP75" s="83">
        <f t="shared" si="29"/>
        <v>111941.07559120907</v>
      </c>
      <c r="AQ75" s="22">
        <f t="shared" si="30"/>
        <v>12044.112227899441</v>
      </c>
      <c r="AR75" s="83">
        <f t="shared" si="31"/>
        <v>-100883.86613186404</v>
      </c>
      <c r="AS75" s="83">
        <f t="shared" si="51"/>
        <v>12044.112227899441</v>
      </c>
      <c r="AT75" s="22">
        <f t="shared" si="32"/>
        <v>20000</v>
      </c>
      <c r="AU75" s="22"/>
      <c r="AV75" s="83">
        <f t="shared" si="33"/>
        <v>20073.520379832404</v>
      </c>
      <c r="AW75" s="83">
        <f t="shared" si="34"/>
        <v>201941.07559120905</v>
      </c>
      <c r="AX75" s="22">
        <f t="shared" si="35"/>
        <v>12044.112227899441</v>
      </c>
      <c r="AY75" s="83">
        <f t="shared" si="36"/>
        <v>-110883.86613186404</v>
      </c>
      <c r="AZ75" s="83">
        <f t="shared" si="52"/>
        <v>12044.112227899441</v>
      </c>
      <c r="BA75" s="22">
        <f t="shared" si="37"/>
        <v>10000</v>
      </c>
      <c r="BB75" s="83"/>
      <c r="BC75" s="83">
        <f t="shared" si="38"/>
        <v>20073.520379832404</v>
      </c>
      <c r="BD75" s="83">
        <f t="shared" si="39"/>
        <v>115970.53779560453</v>
      </c>
      <c r="BE75" s="22">
        <f t="shared" si="40"/>
        <v>12044.112227899441</v>
      </c>
      <c r="BF75" s="83">
        <f t="shared" si="41"/>
        <v>-100883.86613186404</v>
      </c>
      <c r="BG75" s="83">
        <f t="shared" si="53"/>
        <v>12044.112227899441</v>
      </c>
      <c r="BH75" s="22">
        <f t="shared" si="42"/>
        <v>20000</v>
      </c>
      <c r="BJ75" s="83">
        <f t="shared" si="43"/>
        <v>20073.520379832404</v>
      </c>
      <c r="BK75" s="83">
        <f t="shared" si="44"/>
        <v>103882.15118241814</v>
      </c>
      <c r="BL75" s="22">
        <f t="shared" si="45"/>
        <v>12044.112227899441</v>
      </c>
      <c r="BM75" s="83">
        <f t="shared" si="46"/>
        <v>-100883.86613186404</v>
      </c>
      <c r="BN75" s="83">
        <f t="shared" si="54"/>
        <v>12044.112227899441</v>
      </c>
      <c r="BO75" s="22">
        <f t="shared" si="47"/>
        <v>20000</v>
      </c>
    </row>
    <row r="76" spans="1:67" x14ac:dyDescent="0.15">
      <c r="A76" s="76">
        <f t="shared" si="55"/>
        <v>3.8337599924474723</v>
      </c>
      <c r="B76" s="75">
        <f t="shared" si="4"/>
        <v>4.3873496968861714</v>
      </c>
      <c r="C76" s="75">
        <f t="shared" si="5"/>
        <v>4.2709755606201556</v>
      </c>
      <c r="D76" s="75">
        <f t="shared" si="6"/>
        <v>4.120666023812956</v>
      </c>
      <c r="E76" s="75">
        <f t="shared" si="7"/>
        <v>3.1108862058150977</v>
      </c>
      <c r="F76" s="75">
        <f t="shared" si="8"/>
        <v>3.9247369507753929</v>
      </c>
      <c r="G76" s="75">
        <f t="shared" si="9"/>
        <v>4.5751035106374838</v>
      </c>
      <c r="K76" s="73">
        <f t="shared" si="10"/>
        <v>24.08822445579888</v>
      </c>
      <c r="L76" s="82">
        <f t="shared" si="11"/>
        <v>0.15122467804830647</v>
      </c>
      <c r="M76" s="82">
        <f t="shared" si="12"/>
        <v>0.14721345430143526</v>
      </c>
      <c r="N76" s="82">
        <f t="shared" si="13"/>
        <v>0.14203253349920442</v>
      </c>
      <c r="O76" s="82">
        <f t="shared" si="14"/>
        <v>0.10722709549530383</v>
      </c>
      <c r="P76" s="82">
        <f t="shared" si="15"/>
        <v>0.1352791828348073</v>
      </c>
      <c r="Q76" s="82">
        <f t="shared" si="16"/>
        <v>0.15769624106436494</v>
      </c>
      <c r="R76" s="82"/>
      <c r="S76" s="22">
        <f t="shared" si="48"/>
        <v>24.08822445579888</v>
      </c>
      <c r="T76" s="22">
        <f t="shared" si="56"/>
        <v>-16.407546628327296</v>
      </c>
      <c r="U76" s="22">
        <f t="shared" si="56"/>
        <v>-16.641049932870931</v>
      </c>
      <c r="V76" s="22">
        <f t="shared" si="56"/>
        <v>-16.952243323483462</v>
      </c>
      <c r="W76" s="22">
        <f t="shared" si="56"/>
        <v>-19.39390915532784</v>
      </c>
      <c r="X76" s="22">
        <f t="shared" si="56"/>
        <v>-17.375380575889004</v>
      </c>
      <c r="Y76" s="22">
        <f t="shared" si="56"/>
        <v>-16.043573172668665</v>
      </c>
      <c r="AA76" s="83">
        <f t="shared" si="18"/>
        <v>24088.224455798882</v>
      </c>
      <c r="AB76" s="83">
        <f t="shared" si="19"/>
        <v>208395.14885134104</v>
      </c>
      <c r="AC76" s="22">
        <f t="shared" si="20"/>
        <v>14452.934673479327</v>
      </c>
      <c r="AD76" s="83">
        <f t="shared" si="21"/>
        <v>-154072.76722988416</v>
      </c>
      <c r="AE76" s="83">
        <f t="shared" si="49"/>
        <v>14452.934673479327</v>
      </c>
      <c r="AF76" s="22">
        <f t="shared" si="22"/>
        <v>20000</v>
      </c>
      <c r="AG76" s="83"/>
      <c r="AH76" s="83">
        <f t="shared" si="23"/>
        <v>24088.224455798882</v>
      </c>
      <c r="AI76" s="83">
        <f t="shared" si="24"/>
        <v>214197.57442567052</v>
      </c>
      <c r="AJ76" s="22">
        <f t="shared" si="25"/>
        <v>14452.934673479327</v>
      </c>
      <c r="AK76" s="83">
        <f t="shared" si="26"/>
        <v>-154072.76722988416</v>
      </c>
      <c r="AL76" s="83">
        <f t="shared" si="50"/>
        <v>14452.934673479327</v>
      </c>
      <c r="AM76" s="22">
        <f t="shared" si="27"/>
        <v>20000</v>
      </c>
      <c r="AN76" s="83"/>
      <c r="AO76" s="83">
        <f t="shared" si="28"/>
        <v>24088.224455798882</v>
      </c>
      <c r="AP76" s="83">
        <f t="shared" si="29"/>
        <v>108395.14885134106</v>
      </c>
      <c r="AQ76" s="22">
        <f t="shared" si="30"/>
        <v>14452.934673479327</v>
      </c>
      <c r="AR76" s="83">
        <f t="shared" si="31"/>
        <v>-154072.76722988416</v>
      </c>
      <c r="AS76" s="83">
        <f t="shared" si="51"/>
        <v>14452.934673479327</v>
      </c>
      <c r="AT76" s="22">
        <f t="shared" si="32"/>
        <v>20000</v>
      </c>
      <c r="AU76" s="22"/>
      <c r="AV76" s="83">
        <f t="shared" si="33"/>
        <v>24088.224455798882</v>
      </c>
      <c r="AW76" s="83">
        <f t="shared" si="34"/>
        <v>198395.14885134104</v>
      </c>
      <c r="AX76" s="22">
        <f t="shared" si="35"/>
        <v>14452.934673479327</v>
      </c>
      <c r="AY76" s="83">
        <f t="shared" si="36"/>
        <v>-164072.76722988416</v>
      </c>
      <c r="AZ76" s="83">
        <f t="shared" si="52"/>
        <v>14452.934673479327</v>
      </c>
      <c r="BA76" s="22">
        <f t="shared" si="37"/>
        <v>10000</v>
      </c>
      <c r="BB76" s="83"/>
      <c r="BC76" s="83">
        <f t="shared" si="38"/>
        <v>24088.224455798882</v>
      </c>
      <c r="BD76" s="83">
        <f t="shared" si="39"/>
        <v>114197.57442567052</v>
      </c>
      <c r="BE76" s="22">
        <f t="shared" si="40"/>
        <v>14452.934673479327</v>
      </c>
      <c r="BF76" s="83">
        <f t="shared" si="41"/>
        <v>-154072.76722988416</v>
      </c>
      <c r="BG76" s="83">
        <f t="shared" si="53"/>
        <v>14452.934673479327</v>
      </c>
      <c r="BH76" s="22">
        <f t="shared" si="42"/>
        <v>20000</v>
      </c>
      <c r="BJ76" s="83">
        <f t="shared" si="43"/>
        <v>24088.224455798882</v>
      </c>
      <c r="BK76" s="83">
        <f t="shared" si="44"/>
        <v>96790.297702682117</v>
      </c>
      <c r="BL76" s="22">
        <f t="shared" si="45"/>
        <v>14452.934673479327</v>
      </c>
      <c r="BM76" s="83">
        <f t="shared" si="46"/>
        <v>-154072.76722988416</v>
      </c>
      <c r="BN76" s="83">
        <f t="shared" si="54"/>
        <v>14452.934673479327</v>
      </c>
      <c r="BO76" s="22">
        <f t="shared" si="47"/>
        <v>20000</v>
      </c>
    </row>
    <row r="77" spans="1:67" x14ac:dyDescent="0.15">
      <c r="A77" s="76">
        <f t="shared" si="55"/>
        <v>4.6005119909369663</v>
      </c>
      <c r="B77" s="75">
        <f t="shared" si="4"/>
        <v>4.6500689823776273</v>
      </c>
      <c r="C77" s="75">
        <f t="shared" si="5"/>
        <v>4.470820312573208</v>
      </c>
      <c r="D77" s="75">
        <f t="shared" si="6"/>
        <v>4.4439362411590375</v>
      </c>
      <c r="E77" s="75">
        <f t="shared" si="7"/>
        <v>3.5661667741351422</v>
      </c>
      <c r="F77" s="75">
        <f t="shared" si="8"/>
        <v>4.1378974278610263</v>
      </c>
      <c r="G77" s="75">
        <f t="shared" si="9"/>
        <v>5.2050480269188997</v>
      </c>
      <c r="K77" s="73">
        <f t="shared" si="10"/>
        <v>28.905869346958653</v>
      </c>
      <c r="L77" s="82">
        <f t="shared" si="11"/>
        <v>0.11130567827985428</v>
      </c>
      <c r="M77" s="82">
        <f t="shared" si="12"/>
        <v>0.1070151193980501</v>
      </c>
      <c r="N77" s="82">
        <f t="shared" si="13"/>
        <v>0.10637161285760556</v>
      </c>
      <c r="O77" s="82">
        <f t="shared" si="14"/>
        <v>8.5361015752337344E-2</v>
      </c>
      <c r="P77" s="82">
        <f t="shared" si="15"/>
        <v>9.904616073567174E-2</v>
      </c>
      <c r="Q77" s="82">
        <f t="shared" si="16"/>
        <v>0.12458985088414692</v>
      </c>
      <c r="R77" s="82"/>
      <c r="S77" s="22">
        <f t="shared" si="48"/>
        <v>28.905869346958653</v>
      </c>
      <c r="T77" s="22">
        <f t="shared" si="56"/>
        <v>-19.069653589729292</v>
      </c>
      <c r="U77" s="22">
        <f t="shared" si="56"/>
        <v>-19.411097192600415</v>
      </c>
      <c r="V77" s="22">
        <f t="shared" si="56"/>
        <v>-19.463485114536596</v>
      </c>
      <c r="W77" s="22">
        <f t="shared" si="56"/>
        <v>-21.374808513421861</v>
      </c>
      <c r="X77" s="22">
        <f t="shared" si="56"/>
        <v>-20.08324708168638</v>
      </c>
      <c r="Y77" s="22">
        <f t="shared" si="56"/>
        <v>-18.090346679144144</v>
      </c>
      <c r="AA77" s="83">
        <f t="shared" si="18"/>
        <v>28905.869346958654</v>
      </c>
      <c r="AB77" s="83">
        <f t="shared" si="19"/>
        <v>203289.01434593112</v>
      </c>
      <c r="AC77" s="22">
        <f t="shared" si="20"/>
        <v>17343.521608175193</v>
      </c>
      <c r="AD77" s="83">
        <f t="shared" si="21"/>
        <v>-230664.78481103317</v>
      </c>
      <c r="AE77" s="83">
        <f t="shared" si="49"/>
        <v>17343.521608175193</v>
      </c>
      <c r="AF77" s="22">
        <f t="shared" si="22"/>
        <v>20000</v>
      </c>
      <c r="AG77" s="83"/>
      <c r="AH77" s="83">
        <f t="shared" si="23"/>
        <v>28905.869346958654</v>
      </c>
      <c r="AI77" s="83">
        <f t="shared" si="24"/>
        <v>211644.50717296556</v>
      </c>
      <c r="AJ77" s="22">
        <f t="shared" si="25"/>
        <v>17343.521608175193</v>
      </c>
      <c r="AK77" s="83">
        <f t="shared" si="26"/>
        <v>-230664.78481103317</v>
      </c>
      <c r="AL77" s="83">
        <f t="shared" si="50"/>
        <v>17343.521608175193</v>
      </c>
      <c r="AM77" s="22">
        <f t="shared" si="27"/>
        <v>20000</v>
      </c>
      <c r="AN77" s="83"/>
      <c r="AO77" s="83">
        <f t="shared" si="28"/>
        <v>28905.869346958654</v>
      </c>
      <c r="AP77" s="83">
        <f t="shared" si="29"/>
        <v>103289.01434593112</v>
      </c>
      <c r="AQ77" s="22">
        <f t="shared" si="30"/>
        <v>17343.521608175193</v>
      </c>
      <c r="AR77" s="83">
        <f t="shared" si="31"/>
        <v>-230664.78481103317</v>
      </c>
      <c r="AS77" s="83">
        <f t="shared" si="51"/>
        <v>17343.521608175193</v>
      </c>
      <c r="AT77" s="22">
        <f t="shared" si="32"/>
        <v>20000</v>
      </c>
      <c r="AU77" s="22"/>
      <c r="AV77" s="83">
        <f t="shared" si="33"/>
        <v>28905.869346958654</v>
      </c>
      <c r="AW77" s="83">
        <f t="shared" si="34"/>
        <v>193289.01434593112</v>
      </c>
      <c r="AX77" s="22">
        <f t="shared" si="35"/>
        <v>17343.521608175193</v>
      </c>
      <c r="AY77" s="83">
        <f t="shared" si="36"/>
        <v>-240664.78481103317</v>
      </c>
      <c r="AZ77" s="83">
        <f t="shared" si="52"/>
        <v>17343.521608175193</v>
      </c>
      <c r="BA77" s="22">
        <f t="shared" si="37"/>
        <v>10000</v>
      </c>
      <c r="BB77" s="83"/>
      <c r="BC77" s="83">
        <f t="shared" si="38"/>
        <v>28905.869346958654</v>
      </c>
      <c r="BD77" s="83">
        <f t="shared" si="39"/>
        <v>111644.50717296556</v>
      </c>
      <c r="BE77" s="22">
        <f t="shared" si="40"/>
        <v>17343.521608175193</v>
      </c>
      <c r="BF77" s="83">
        <f t="shared" si="41"/>
        <v>-230664.78481103317</v>
      </c>
      <c r="BG77" s="83">
        <f t="shared" si="53"/>
        <v>17343.521608175193</v>
      </c>
      <c r="BH77" s="22">
        <f t="shared" si="42"/>
        <v>20000</v>
      </c>
      <c r="BJ77" s="83">
        <f t="shared" si="43"/>
        <v>28905.869346958654</v>
      </c>
      <c r="BK77" s="83">
        <f t="shared" si="44"/>
        <v>86578.028691862244</v>
      </c>
      <c r="BL77" s="22">
        <f t="shared" si="45"/>
        <v>17343.521608175193</v>
      </c>
      <c r="BM77" s="83">
        <f t="shared" si="46"/>
        <v>-230664.78481103317</v>
      </c>
      <c r="BN77" s="83">
        <f t="shared" si="54"/>
        <v>17343.521608175193</v>
      </c>
      <c r="BO77" s="22">
        <f t="shared" si="47"/>
        <v>20000</v>
      </c>
    </row>
    <row r="78" spans="1:67" x14ac:dyDescent="0.15">
      <c r="A78" s="76">
        <f t="shared" si="55"/>
        <v>5.5206143891243595</v>
      </c>
      <c r="B78" s="75">
        <f t="shared" si="4"/>
        <v>5.116665244707681</v>
      </c>
      <c r="C78" s="75">
        <f t="shared" si="5"/>
        <v>4.8297339531749532</v>
      </c>
      <c r="D78" s="75">
        <f t="shared" si="6"/>
        <v>5.0003324253932586</v>
      </c>
      <c r="E78" s="75">
        <f t="shared" si="7"/>
        <v>4.2053781750131263</v>
      </c>
      <c r="F78" s="75">
        <f t="shared" si="8"/>
        <v>4.5043745602416099</v>
      </c>
      <c r="G78" s="75">
        <f t="shared" si="9"/>
        <v>6.3617987521714179</v>
      </c>
      <c r="K78" s="73">
        <f t="shared" si="10"/>
        <v>34.687043216350382</v>
      </c>
      <c r="L78" s="82">
        <f t="shared" si="11"/>
        <v>8.5051590057563409E-2</v>
      </c>
      <c r="M78" s="82">
        <f t="shared" si="12"/>
        <v>8.0282084644370602E-2</v>
      </c>
      <c r="N78" s="82">
        <f t="shared" si="13"/>
        <v>8.3117851814905316E-2</v>
      </c>
      <c r="O78" s="82">
        <f t="shared" si="14"/>
        <v>6.9903752438796637E-2</v>
      </c>
      <c r="P78" s="82">
        <f t="shared" si="15"/>
        <v>7.4873809452287887E-2</v>
      </c>
      <c r="Q78" s="82">
        <f t="shared" si="16"/>
        <v>0.10574877847599236</v>
      </c>
      <c r="R78" s="82"/>
      <c r="S78" s="22">
        <f t="shared" si="48"/>
        <v>34.687043216350382</v>
      </c>
      <c r="T78" s="22">
        <f t="shared" si="56"/>
        <v>-21.40635125495637</v>
      </c>
      <c r="U78" s="22">
        <f t="shared" si="56"/>
        <v>-21.907627178650586</v>
      </c>
      <c r="V78" s="22">
        <f t="shared" si="56"/>
        <v>-21.606113793374803</v>
      </c>
      <c r="W78" s="22">
        <f t="shared" si="56"/>
        <v>-23.109990213349022</v>
      </c>
      <c r="X78" s="22">
        <f t="shared" si="56"/>
        <v>-22.513401402880696</v>
      </c>
      <c r="Y78" s="22">
        <f t="shared" si="56"/>
        <v>-19.514492810821991</v>
      </c>
      <c r="AA78" s="83">
        <f t="shared" si="18"/>
        <v>34687.043216350379</v>
      </c>
      <c r="AB78" s="83">
        <f t="shared" si="19"/>
        <v>195936.18065814083</v>
      </c>
      <c r="AC78" s="22">
        <f t="shared" si="20"/>
        <v>20812.225929810229</v>
      </c>
      <c r="AD78" s="83">
        <f t="shared" si="21"/>
        <v>-340957.29012788768</v>
      </c>
      <c r="AE78" s="83">
        <f t="shared" si="49"/>
        <v>20812.225929810229</v>
      </c>
      <c r="AF78" s="22">
        <f t="shared" si="22"/>
        <v>20000</v>
      </c>
      <c r="AG78" s="83"/>
      <c r="AH78" s="83">
        <f t="shared" si="23"/>
        <v>34687.043216350379</v>
      </c>
      <c r="AI78" s="83">
        <f t="shared" si="24"/>
        <v>207968.0903290704</v>
      </c>
      <c r="AJ78" s="22">
        <f t="shared" si="25"/>
        <v>20812.225929810229</v>
      </c>
      <c r="AK78" s="83">
        <f t="shared" si="26"/>
        <v>-340957.29012788768</v>
      </c>
      <c r="AL78" s="83">
        <f t="shared" si="50"/>
        <v>20812.225929810229</v>
      </c>
      <c r="AM78" s="22">
        <f t="shared" si="27"/>
        <v>20000</v>
      </c>
      <c r="AN78" s="83"/>
      <c r="AO78" s="83">
        <f t="shared" si="28"/>
        <v>34687.043216350379</v>
      </c>
      <c r="AP78" s="83">
        <f t="shared" si="29"/>
        <v>95936.180658140816</v>
      </c>
      <c r="AQ78" s="22">
        <f t="shared" si="30"/>
        <v>20812.225929810229</v>
      </c>
      <c r="AR78" s="83">
        <f t="shared" si="31"/>
        <v>-340957.29012788768</v>
      </c>
      <c r="AS78" s="83">
        <f t="shared" si="51"/>
        <v>20812.225929810229</v>
      </c>
      <c r="AT78" s="22">
        <f t="shared" si="32"/>
        <v>20000</v>
      </c>
      <c r="AU78" s="22"/>
      <c r="AV78" s="83">
        <f t="shared" si="33"/>
        <v>34687.043216350379</v>
      </c>
      <c r="AW78" s="83">
        <f t="shared" si="34"/>
        <v>185936.18065814083</v>
      </c>
      <c r="AX78" s="22">
        <f t="shared" si="35"/>
        <v>20812.225929810229</v>
      </c>
      <c r="AY78" s="83">
        <f t="shared" si="36"/>
        <v>-350957.29012788768</v>
      </c>
      <c r="AZ78" s="83">
        <f t="shared" si="52"/>
        <v>20812.225929810229</v>
      </c>
      <c r="BA78" s="22">
        <f t="shared" si="37"/>
        <v>10000</v>
      </c>
      <c r="BB78" s="83"/>
      <c r="BC78" s="83">
        <f t="shared" si="38"/>
        <v>34687.043216350379</v>
      </c>
      <c r="BD78" s="83">
        <f t="shared" si="39"/>
        <v>107968.09032907042</v>
      </c>
      <c r="BE78" s="22">
        <f t="shared" si="40"/>
        <v>20812.225929810229</v>
      </c>
      <c r="BF78" s="83">
        <f t="shared" si="41"/>
        <v>-340957.29012788768</v>
      </c>
      <c r="BG78" s="83">
        <f t="shared" si="53"/>
        <v>20812.225929810229</v>
      </c>
      <c r="BH78" s="22">
        <f t="shared" si="42"/>
        <v>20000</v>
      </c>
      <c r="BJ78" s="83">
        <f t="shared" si="43"/>
        <v>34687.043216350379</v>
      </c>
      <c r="BK78" s="83">
        <f t="shared" si="44"/>
        <v>71872.361316281633</v>
      </c>
      <c r="BL78" s="22">
        <f t="shared" si="45"/>
        <v>20812.225929810229</v>
      </c>
      <c r="BM78" s="83">
        <f t="shared" si="46"/>
        <v>-340957.29012788768</v>
      </c>
      <c r="BN78" s="83">
        <f t="shared" si="54"/>
        <v>20812.225929810229</v>
      </c>
      <c r="BO78" s="22">
        <f t="shared" si="47"/>
        <v>20000</v>
      </c>
    </row>
    <row r="79" spans="1:67" x14ac:dyDescent="0.15">
      <c r="A79" s="76">
        <f t="shared" si="55"/>
        <v>6.6247372669492313</v>
      </c>
      <c r="B79" s="75">
        <f t="shared" si="4"/>
        <v>5.8546966453046307</v>
      </c>
      <c r="C79" s="75">
        <f t="shared" si="5"/>
        <v>5.376148548318687</v>
      </c>
      <c r="D79" s="75">
        <f t="shared" si="6"/>
        <v>5.8891157164268808</v>
      </c>
      <c r="E79" s="75">
        <f t="shared" si="7"/>
        <v>5.1082739083153212</v>
      </c>
      <c r="F79" s="75">
        <f t="shared" si="8"/>
        <v>5.056909236054393</v>
      </c>
      <c r="G79" s="75">
        <f t="shared" si="9"/>
        <v>8.4505037441875146</v>
      </c>
      <c r="K79" s="73">
        <f t="shared" si="10"/>
        <v>41.624451859620457</v>
      </c>
      <c r="L79" s="82">
        <f t="shared" si="11"/>
        <v>6.7582980099371109E-2</v>
      </c>
      <c r="M79" s="82">
        <f t="shared" si="12"/>
        <v>6.2058918226561621E-2</v>
      </c>
      <c r="N79" s="82">
        <f t="shared" si="13"/>
        <v>6.7980292469186104E-2</v>
      </c>
      <c r="O79" s="82">
        <f t="shared" si="14"/>
        <v>5.8966739833511556E-2</v>
      </c>
      <c r="P79" s="82">
        <f t="shared" si="15"/>
        <v>5.8373817973759012E-2</v>
      </c>
      <c r="Q79" s="82">
        <f t="shared" si="16"/>
        <v>9.7547364273964002E-2</v>
      </c>
      <c r="R79" s="82"/>
      <c r="S79" s="22">
        <f t="shared" si="48"/>
        <v>41.624451859620457</v>
      </c>
      <c r="T79" s="22">
        <f t="shared" si="56"/>
        <v>-23.403253234893082</v>
      </c>
      <c r="U79" s="22">
        <f t="shared" si="56"/>
        <v>-24.143915980879676</v>
      </c>
      <c r="V79" s="22">
        <f t="shared" si="56"/>
        <v>-23.352339425985804</v>
      </c>
      <c r="W79" s="22">
        <f t="shared" si="56"/>
        <v>-24.587857658605586</v>
      </c>
      <c r="X79" s="22">
        <f t="shared" si="56"/>
        <v>-24.675638009517517</v>
      </c>
      <c r="Y79" s="22">
        <f t="shared" si="56"/>
        <v>-20.215689214623037</v>
      </c>
      <c r="AA79" s="83">
        <f t="shared" si="18"/>
        <v>41624.451859620458</v>
      </c>
      <c r="AB79" s="83">
        <f t="shared" si="19"/>
        <v>185348.10014772278</v>
      </c>
      <c r="AC79" s="22">
        <f t="shared" si="20"/>
        <v>24974.671115772275</v>
      </c>
      <c r="AD79" s="83">
        <f t="shared" si="21"/>
        <v>-499778.49778415827</v>
      </c>
      <c r="AE79" s="83">
        <f t="shared" si="49"/>
        <v>24974.671115772275</v>
      </c>
      <c r="AF79" s="22">
        <f t="shared" si="22"/>
        <v>20000</v>
      </c>
      <c r="AG79" s="83"/>
      <c r="AH79" s="83">
        <f t="shared" si="23"/>
        <v>41624.451859620458</v>
      </c>
      <c r="AI79" s="83">
        <f t="shared" si="24"/>
        <v>202674.05007386138</v>
      </c>
      <c r="AJ79" s="22">
        <f t="shared" si="25"/>
        <v>24974.671115772275</v>
      </c>
      <c r="AK79" s="83">
        <f t="shared" si="26"/>
        <v>-499778.49778415827</v>
      </c>
      <c r="AL79" s="83">
        <f t="shared" si="50"/>
        <v>24974.671115772275</v>
      </c>
      <c r="AM79" s="22">
        <f t="shared" si="27"/>
        <v>20000</v>
      </c>
      <c r="AN79" s="83"/>
      <c r="AO79" s="83">
        <f t="shared" si="28"/>
        <v>41624.451859620458</v>
      </c>
      <c r="AP79" s="83">
        <f t="shared" si="29"/>
        <v>85348.100147722784</v>
      </c>
      <c r="AQ79" s="22">
        <f t="shared" si="30"/>
        <v>24974.671115772275</v>
      </c>
      <c r="AR79" s="83">
        <f t="shared" si="31"/>
        <v>-499778.49778415827</v>
      </c>
      <c r="AS79" s="83">
        <f t="shared" si="51"/>
        <v>24974.671115772275</v>
      </c>
      <c r="AT79" s="22">
        <f t="shared" si="32"/>
        <v>20000</v>
      </c>
      <c r="AU79" s="22"/>
      <c r="AV79" s="83">
        <f t="shared" si="33"/>
        <v>41624.451859620458</v>
      </c>
      <c r="AW79" s="83">
        <f t="shared" si="34"/>
        <v>175348.10014772278</v>
      </c>
      <c r="AX79" s="22">
        <f t="shared" si="35"/>
        <v>24974.671115772275</v>
      </c>
      <c r="AY79" s="83">
        <f t="shared" si="36"/>
        <v>-509778.49778415827</v>
      </c>
      <c r="AZ79" s="83">
        <f t="shared" si="52"/>
        <v>24974.671115772275</v>
      </c>
      <c r="BA79" s="22">
        <f t="shared" si="37"/>
        <v>10000</v>
      </c>
      <c r="BB79" s="83"/>
      <c r="BC79" s="83">
        <f t="shared" si="38"/>
        <v>41624.451859620458</v>
      </c>
      <c r="BD79" s="83">
        <f t="shared" si="39"/>
        <v>102674.05007386139</v>
      </c>
      <c r="BE79" s="22">
        <f t="shared" si="40"/>
        <v>24974.671115772275</v>
      </c>
      <c r="BF79" s="83">
        <f t="shared" si="41"/>
        <v>-499778.49778415827</v>
      </c>
      <c r="BG79" s="83">
        <f t="shared" si="53"/>
        <v>24974.671115772275</v>
      </c>
      <c r="BH79" s="22">
        <f t="shared" si="42"/>
        <v>20000</v>
      </c>
      <c r="BJ79" s="83">
        <f t="shared" si="43"/>
        <v>41624.451859620458</v>
      </c>
      <c r="BK79" s="83">
        <f t="shared" si="44"/>
        <v>50696.200295445567</v>
      </c>
      <c r="BL79" s="22">
        <f t="shared" si="45"/>
        <v>24974.671115772275</v>
      </c>
      <c r="BM79" s="83">
        <f t="shared" si="46"/>
        <v>-499778.49778415827</v>
      </c>
      <c r="BN79" s="83">
        <f t="shared" si="54"/>
        <v>24974.671115772275</v>
      </c>
      <c r="BO79" s="22">
        <f t="shared" si="47"/>
        <v>20000</v>
      </c>
    </row>
    <row r="80" spans="1:67" x14ac:dyDescent="0.15">
      <c r="A80" s="76">
        <f t="shared" si="55"/>
        <v>7.9496847203390768</v>
      </c>
      <c r="B80" s="75">
        <f t="shared" si="4"/>
        <v>6.9993477957992569</v>
      </c>
      <c r="C80" s="75">
        <f t="shared" si="5"/>
        <v>6.1637505242672344</v>
      </c>
      <c r="D80" s="75">
        <f t="shared" si="6"/>
        <v>7.2743924649061382</v>
      </c>
      <c r="E80" s="75">
        <f t="shared" si="7"/>
        <v>6.4226275463353772</v>
      </c>
      <c r="F80" s="75">
        <f t="shared" si="8"/>
        <v>5.8491582825930184</v>
      </c>
      <c r="G80" s="75">
        <f t="shared" si="9"/>
        <v>11.406990332957633</v>
      </c>
      <c r="K80" s="73">
        <f t="shared" si="10"/>
        <v>49.949342231544549</v>
      </c>
      <c r="L80" s="82">
        <f t="shared" si="11"/>
        <v>5.6108417861629407E-2</v>
      </c>
      <c r="M80" s="82">
        <f t="shared" si="12"/>
        <v>4.9410073638287033E-2</v>
      </c>
      <c r="N80" s="82">
        <f t="shared" si="13"/>
        <v>5.8313240607274996E-2</v>
      </c>
      <c r="O80" s="82">
        <f t="shared" si="14"/>
        <v>5.1485292723369658E-2</v>
      </c>
      <c r="P80" s="82">
        <f t="shared" si="15"/>
        <v>4.6888228251138642E-2</v>
      </c>
      <c r="Q80" s="82">
        <f t="shared" si="16"/>
        <v>9.1441116917961238E-2</v>
      </c>
      <c r="R80" s="82"/>
      <c r="S80" s="22">
        <f t="shared" si="48"/>
        <v>49.949342231544549</v>
      </c>
      <c r="T80" s="22">
        <f t="shared" si="56"/>
        <v>-25.019439546141669</v>
      </c>
      <c r="U80" s="22">
        <f t="shared" si="56"/>
        <v>-26.123689977189247</v>
      </c>
      <c r="V80" s="22">
        <f t="shared" si="56"/>
        <v>-24.684656462352173</v>
      </c>
      <c r="W80" s="22">
        <f t="shared" si="56"/>
        <v>-25.766336274047354</v>
      </c>
      <c r="X80" s="22">
        <f t="shared" si="56"/>
        <v>-26.578723549655212</v>
      </c>
      <c r="Y80" s="22">
        <f t="shared" si="56"/>
        <v>-20.777169556816997</v>
      </c>
      <c r="AA80" s="83">
        <f t="shared" si="18"/>
        <v>49949.34223154455</v>
      </c>
      <c r="AB80" s="83">
        <f t="shared" si="19"/>
        <v>170101.26421272079</v>
      </c>
      <c r="AC80" s="22">
        <f t="shared" si="20"/>
        <v>29969.605338926729</v>
      </c>
      <c r="AD80" s="83">
        <f t="shared" si="21"/>
        <v>-728481.03680918785</v>
      </c>
      <c r="AE80" s="83">
        <f t="shared" si="49"/>
        <v>29969.605338926729</v>
      </c>
      <c r="AF80" s="22">
        <f t="shared" si="22"/>
        <v>20000</v>
      </c>
      <c r="AG80" s="83"/>
      <c r="AH80" s="83">
        <f t="shared" si="23"/>
        <v>49949.34223154455</v>
      </c>
      <c r="AI80" s="83">
        <f t="shared" si="24"/>
        <v>195050.6321063604</v>
      </c>
      <c r="AJ80" s="22">
        <f t="shared" si="25"/>
        <v>29969.605338926729</v>
      </c>
      <c r="AK80" s="83">
        <f t="shared" si="26"/>
        <v>-728481.03680918785</v>
      </c>
      <c r="AL80" s="83">
        <f t="shared" si="50"/>
        <v>29969.605338926729</v>
      </c>
      <c r="AM80" s="22">
        <f t="shared" si="27"/>
        <v>20000</v>
      </c>
      <c r="AN80" s="83"/>
      <c r="AO80" s="83">
        <f t="shared" si="28"/>
        <v>49949.34223154455</v>
      </c>
      <c r="AP80" s="83">
        <f t="shared" si="29"/>
        <v>70101.264212720809</v>
      </c>
      <c r="AQ80" s="22">
        <f t="shared" si="30"/>
        <v>29969.605338926729</v>
      </c>
      <c r="AR80" s="83">
        <f t="shared" si="31"/>
        <v>-728481.03680918785</v>
      </c>
      <c r="AS80" s="83">
        <f t="shared" si="51"/>
        <v>29969.605338926729</v>
      </c>
      <c r="AT80" s="22">
        <f t="shared" si="32"/>
        <v>20000</v>
      </c>
      <c r="AU80" s="22"/>
      <c r="AV80" s="83">
        <f t="shared" si="33"/>
        <v>49949.34223154455</v>
      </c>
      <c r="AW80" s="83">
        <f t="shared" si="34"/>
        <v>160101.26421272079</v>
      </c>
      <c r="AX80" s="22">
        <f t="shared" si="35"/>
        <v>29969.605338926729</v>
      </c>
      <c r="AY80" s="83">
        <f t="shared" si="36"/>
        <v>-738481.03680918785</v>
      </c>
      <c r="AZ80" s="83">
        <f t="shared" si="52"/>
        <v>29969.605338926729</v>
      </c>
      <c r="BA80" s="22">
        <f t="shared" si="37"/>
        <v>10000</v>
      </c>
      <c r="BB80" s="83"/>
      <c r="BC80" s="83">
        <f t="shared" si="38"/>
        <v>49949.34223154455</v>
      </c>
      <c r="BD80" s="83">
        <f t="shared" si="39"/>
        <v>95050.632106360397</v>
      </c>
      <c r="BE80" s="22">
        <f t="shared" si="40"/>
        <v>29969.605338926729</v>
      </c>
      <c r="BF80" s="83">
        <f t="shared" si="41"/>
        <v>-728481.03680918785</v>
      </c>
      <c r="BG80" s="83">
        <f t="shared" si="53"/>
        <v>29969.605338926729</v>
      </c>
      <c r="BH80" s="22">
        <f t="shared" si="42"/>
        <v>20000</v>
      </c>
      <c r="BJ80" s="83">
        <f t="shared" si="43"/>
        <v>49949.34223154455</v>
      </c>
      <c r="BK80" s="83">
        <f t="shared" si="44"/>
        <v>20202.528425441618</v>
      </c>
      <c r="BL80" s="22">
        <f t="shared" si="45"/>
        <v>29969.605338926729</v>
      </c>
      <c r="BM80" s="83">
        <f t="shared" si="46"/>
        <v>-728481.03680918785</v>
      </c>
      <c r="BN80" s="83">
        <f t="shared" si="54"/>
        <v>29969.605338926729</v>
      </c>
      <c r="BO80" s="22">
        <f t="shared" si="47"/>
        <v>20000</v>
      </c>
    </row>
    <row r="81" spans="1:67" x14ac:dyDescent="0.15">
      <c r="A81" s="76">
        <f t="shared" si="55"/>
        <v>9.5396216644068925</v>
      </c>
      <c r="B81" s="75">
        <f t="shared" si="4"/>
        <v>8.820516139198606</v>
      </c>
      <c r="C81" s="75">
        <f t="shared" si="5"/>
        <v>7.2832479961640546</v>
      </c>
      <c r="D81" s="75">
        <f t="shared" si="6"/>
        <v>9.2819825251529728</v>
      </c>
      <c r="E81" s="75">
        <f t="shared" si="7"/>
        <v>8.4391840371838125</v>
      </c>
      <c r="F81" s="75">
        <f t="shared" si="8"/>
        <v>6.9517823785683097</v>
      </c>
      <c r="G81" s="75">
        <f t="shared" si="9"/>
        <v>10.878153771844293</v>
      </c>
      <c r="K81" s="73">
        <f t="shared" si="10"/>
        <v>59.93921067785346</v>
      </c>
      <c r="L81" s="82">
        <f t="shared" si="11"/>
        <v>4.9102313582546381E-2</v>
      </c>
      <c r="M81" s="82">
        <f t="shared" si="12"/>
        <v>4.054460321406908E-2</v>
      </c>
      <c r="N81" s="82">
        <f t="shared" si="13"/>
        <v>5.1671218489396244E-2</v>
      </c>
      <c r="O81" s="82">
        <f t="shared" si="14"/>
        <v>4.6979502609046687E-2</v>
      </c>
      <c r="P81" s="82">
        <f t="shared" si="15"/>
        <v>3.8699390480463967E-2</v>
      </c>
      <c r="Q81" s="82">
        <f t="shared" si="16"/>
        <v>6.0556832420555838E-2</v>
      </c>
      <c r="R81" s="82"/>
      <c r="S81" s="22">
        <f t="shared" si="48"/>
        <v>59.93921067785346</v>
      </c>
      <c r="T81" s="22">
        <f t="shared" si="56"/>
        <v>-26.177960889735484</v>
      </c>
      <c r="U81" s="22">
        <f t="shared" si="56"/>
        <v>-27.841338908134702</v>
      </c>
      <c r="V81" s="22">
        <f t="shared" si="56"/>
        <v>-25.735025939599051</v>
      </c>
      <c r="W81" s="22">
        <f t="shared" si="56"/>
        <v>-26.56183171170035</v>
      </c>
      <c r="X81" s="22">
        <f t="shared" si="56"/>
        <v>-28.245917502234544</v>
      </c>
      <c r="Y81" s="22">
        <f t="shared" si="56"/>
        <v>-24.356736995870282</v>
      </c>
      <c r="AA81" s="83">
        <f t="shared" si="18"/>
        <v>59939.210677853458</v>
      </c>
      <c r="AB81" s="83">
        <f t="shared" si="19"/>
        <v>148145.82046631793</v>
      </c>
      <c r="AC81" s="22">
        <f t="shared" si="20"/>
        <v>35963.526406712073</v>
      </c>
      <c r="AD81" s="83">
        <f t="shared" si="21"/>
        <v>-1057812.6930052307</v>
      </c>
      <c r="AE81" s="83">
        <f t="shared" si="49"/>
        <v>35963.526406712073</v>
      </c>
      <c r="AF81" s="22">
        <f t="shared" si="22"/>
        <v>20000</v>
      </c>
      <c r="AG81" s="83"/>
      <c r="AH81" s="83">
        <f t="shared" si="23"/>
        <v>59939.210677853458</v>
      </c>
      <c r="AI81" s="83">
        <f t="shared" si="24"/>
        <v>184072.91023315897</v>
      </c>
      <c r="AJ81" s="22">
        <f t="shared" si="25"/>
        <v>35963.526406712073</v>
      </c>
      <c r="AK81" s="83">
        <f t="shared" si="26"/>
        <v>-1057812.6930052307</v>
      </c>
      <c r="AL81" s="83">
        <f t="shared" si="50"/>
        <v>35963.526406712073</v>
      </c>
      <c r="AM81" s="22">
        <f t="shared" si="27"/>
        <v>20000</v>
      </c>
      <c r="AN81" s="83"/>
      <c r="AO81" s="83">
        <f t="shared" si="28"/>
        <v>59939.210677853458</v>
      </c>
      <c r="AP81" s="83">
        <f t="shared" si="29"/>
        <v>48145.820466317949</v>
      </c>
      <c r="AQ81" s="22">
        <f t="shared" si="30"/>
        <v>35963.526406712073</v>
      </c>
      <c r="AR81" s="83">
        <f t="shared" si="31"/>
        <v>-1057812.6930052307</v>
      </c>
      <c r="AS81" s="83">
        <f t="shared" si="51"/>
        <v>35963.526406712073</v>
      </c>
      <c r="AT81" s="22">
        <f t="shared" si="32"/>
        <v>20000</v>
      </c>
      <c r="AU81" s="22"/>
      <c r="AV81" s="83">
        <f t="shared" si="33"/>
        <v>59939.210677853458</v>
      </c>
      <c r="AW81" s="83">
        <f t="shared" si="34"/>
        <v>138145.82046631793</v>
      </c>
      <c r="AX81" s="22">
        <f t="shared" si="35"/>
        <v>35963.526406712073</v>
      </c>
      <c r="AY81" s="83">
        <f t="shared" si="36"/>
        <v>-1067812.6930052307</v>
      </c>
      <c r="AZ81" s="83">
        <f t="shared" si="52"/>
        <v>35963.526406712073</v>
      </c>
      <c r="BA81" s="22">
        <f t="shared" si="37"/>
        <v>10000</v>
      </c>
      <c r="BB81" s="83"/>
      <c r="BC81" s="83">
        <f t="shared" si="38"/>
        <v>59939.210677853458</v>
      </c>
      <c r="BD81" s="83">
        <f t="shared" si="39"/>
        <v>84072.910233158967</v>
      </c>
      <c r="BE81" s="22">
        <f t="shared" si="40"/>
        <v>35963.526406712073</v>
      </c>
      <c r="BF81" s="83">
        <f t="shared" si="41"/>
        <v>-1057812.6930052307</v>
      </c>
      <c r="BG81" s="83">
        <f t="shared" si="53"/>
        <v>35963.526406712073</v>
      </c>
      <c r="BH81" s="22">
        <f t="shared" si="42"/>
        <v>20000</v>
      </c>
      <c r="BJ81" s="83">
        <f t="shared" si="43"/>
        <v>59939.210677853458</v>
      </c>
      <c r="BK81" s="83">
        <f t="shared" si="44"/>
        <v>-23708.359067364101</v>
      </c>
      <c r="BL81" s="22">
        <f t="shared" si="45"/>
        <v>35963.526406712073</v>
      </c>
      <c r="BM81" s="83">
        <f t="shared" si="46"/>
        <v>-1057812.6930052307</v>
      </c>
      <c r="BN81" s="83">
        <f t="shared" si="54"/>
        <v>35963.526406712073</v>
      </c>
      <c r="BO81" s="22">
        <f t="shared" si="47"/>
        <v>20000</v>
      </c>
    </row>
    <row r="82" spans="1:67" x14ac:dyDescent="0.15">
      <c r="A82" s="76">
        <f t="shared" si="55"/>
        <v>11.447545997288271</v>
      </c>
      <c r="B82" s="75">
        <f t="shared" si="4"/>
        <v>11.867260763806929</v>
      </c>
      <c r="C82" s="75">
        <f t="shared" si="5"/>
        <v>8.8870209114934244</v>
      </c>
      <c r="D82" s="75">
        <f t="shared" si="6"/>
        <v>11.188418615066462</v>
      </c>
      <c r="E82" s="75">
        <f t="shared" si="7"/>
        <v>11.737242315421881</v>
      </c>
      <c r="F82" s="75">
        <f t="shared" si="8"/>
        <v>8.4128937185350683</v>
      </c>
      <c r="G82" s="75">
        <f t="shared" si="9"/>
        <v>7.3086273133156867</v>
      </c>
      <c r="K82" s="73">
        <f t="shared" si="10"/>
        <v>71.927052813424154</v>
      </c>
      <c r="L82" s="82">
        <f t="shared" si="11"/>
        <v>4.5877099212224215E-2</v>
      </c>
      <c r="M82" s="82">
        <f t="shared" si="12"/>
        <v>3.4355926626399046E-2</v>
      </c>
      <c r="N82" s="82">
        <f t="shared" si="13"/>
        <v>4.3252794477791526E-2</v>
      </c>
      <c r="O82" s="82">
        <f t="shared" si="14"/>
        <v>4.5374466854623034E-2</v>
      </c>
      <c r="P82" s="82">
        <f t="shared" si="15"/>
        <v>3.252302005229709E-2</v>
      </c>
      <c r="Q82" s="82">
        <f t="shared" si="16"/>
        <v>2.8254087192619692E-2</v>
      </c>
      <c r="R82" s="82"/>
      <c r="S82" s="22">
        <f t="shared" si="48"/>
        <v>71.927052813424154</v>
      </c>
      <c r="T82" s="22">
        <f t="shared" si="56"/>
        <v>-26.768081002839775</v>
      </c>
      <c r="U82" s="22">
        <f t="shared" si="56"/>
        <v>-29.279966668961347</v>
      </c>
      <c r="V82" s="22">
        <f t="shared" si="56"/>
        <v>-27.279716567646318</v>
      </c>
      <c r="W82" s="22">
        <f t="shared" si="56"/>
        <v>-26.863769296838083</v>
      </c>
      <c r="X82" s="22">
        <f t="shared" si="56"/>
        <v>-29.756182661836576</v>
      </c>
      <c r="Y82" s="22">
        <f t="shared" si="56"/>
        <v>-30.978374378620153</v>
      </c>
      <c r="AA82" s="83">
        <f t="shared" si="18"/>
        <v>71927.052813424161</v>
      </c>
      <c r="AB82" s="83">
        <f t="shared" si="19"/>
        <v>116529.98147149786</v>
      </c>
      <c r="AC82" s="22">
        <f t="shared" si="20"/>
        <v>43156.231688054489</v>
      </c>
      <c r="AD82" s="83">
        <f t="shared" si="21"/>
        <v>-1532050.2779275323</v>
      </c>
      <c r="AE82" s="83">
        <f t="shared" si="49"/>
        <v>43156.231688054489</v>
      </c>
      <c r="AF82" s="22">
        <f t="shared" si="22"/>
        <v>20000</v>
      </c>
      <c r="AG82" s="83"/>
      <c r="AH82" s="83">
        <f t="shared" si="23"/>
        <v>71927.052813424161</v>
      </c>
      <c r="AI82" s="83">
        <f t="shared" si="24"/>
        <v>168264.99073574893</v>
      </c>
      <c r="AJ82" s="22">
        <f t="shared" si="25"/>
        <v>43156.231688054489</v>
      </c>
      <c r="AK82" s="83">
        <f t="shared" si="26"/>
        <v>-1532050.2779275323</v>
      </c>
      <c r="AL82" s="83">
        <f t="shared" si="50"/>
        <v>43156.231688054489</v>
      </c>
      <c r="AM82" s="22">
        <f t="shared" si="27"/>
        <v>20000</v>
      </c>
      <c r="AN82" s="83"/>
      <c r="AO82" s="83">
        <f t="shared" si="28"/>
        <v>71927.052813424161</v>
      </c>
      <c r="AP82" s="83">
        <f t="shared" si="29"/>
        <v>16529.981471497857</v>
      </c>
      <c r="AQ82" s="22">
        <f t="shared" si="30"/>
        <v>43156.231688054489</v>
      </c>
      <c r="AR82" s="83">
        <f t="shared" si="31"/>
        <v>-1532050.2779275323</v>
      </c>
      <c r="AS82" s="83">
        <f t="shared" si="51"/>
        <v>43156.231688054489</v>
      </c>
      <c r="AT82" s="22">
        <f t="shared" si="32"/>
        <v>20000</v>
      </c>
      <c r="AU82" s="22"/>
      <c r="AV82" s="83">
        <f t="shared" si="33"/>
        <v>71927.052813424161</v>
      </c>
      <c r="AW82" s="83">
        <f t="shared" si="34"/>
        <v>106529.98147149786</v>
      </c>
      <c r="AX82" s="22">
        <f t="shared" si="35"/>
        <v>43156.231688054489</v>
      </c>
      <c r="AY82" s="83">
        <f t="shared" si="36"/>
        <v>-1542050.2779275323</v>
      </c>
      <c r="AZ82" s="83">
        <f t="shared" si="52"/>
        <v>43156.231688054489</v>
      </c>
      <c r="BA82" s="22">
        <f t="shared" si="37"/>
        <v>10000</v>
      </c>
      <c r="BB82" s="83"/>
      <c r="BC82" s="83">
        <f t="shared" si="38"/>
        <v>71927.052813424161</v>
      </c>
      <c r="BD82" s="83">
        <f t="shared" si="39"/>
        <v>68264.990735748928</v>
      </c>
      <c r="BE82" s="22">
        <f t="shared" si="40"/>
        <v>43156.231688054489</v>
      </c>
      <c r="BF82" s="83">
        <f t="shared" si="41"/>
        <v>-1532050.2779275323</v>
      </c>
      <c r="BG82" s="83">
        <f t="shared" si="53"/>
        <v>43156.231688054489</v>
      </c>
      <c r="BH82" s="22">
        <f t="shared" si="42"/>
        <v>20000</v>
      </c>
      <c r="BJ82" s="83">
        <f t="shared" si="43"/>
        <v>71927.052813424161</v>
      </c>
      <c r="BK82" s="83">
        <f t="shared" si="44"/>
        <v>-86940.037057004287</v>
      </c>
      <c r="BL82" s="22">
        <f t="shared" si="45"/>
        <v>43156.231688054489</v>
      </c>
      <c r="BM82" s="83">
        <f t="shared" si="46"/>
        <v>-1532050.2779275323</v>
      </c>
      <c r="BN82" s="83">
        <f t="shared" si="54"/>
        <v>43156.231688054489</v>
      </c>
      <c r="BO82" s="22">
        <f t="shared" si="47"/>
        <v>20000</v>
      </c>
    </row>
    <row r="83" spans="1:67" x14ac:dyDescent="0.15">
      <c r="A83" s="76">
        <f t="shared" si="55"/>
        <v>13.737055196745926</v>
      </c>
      <c r="B83" s="75">
        <f t="shared" si="4"/>
        <v>16.942535026632971</v>
      </c>
      <c r="C83" s="75">
        <f t="shared" si="5"/>
        <v>11.226146135519645</v>
      </c>
      <c r="D83" s="75">
        <f t="shared" si="6"/>
        <v>10.703234570466897</v>
      </c>
      <c r="E83" s="75">
        <f t="shared" si="7"/>
        <v>17.001517789878474</v>
      </c>
      <c r="F83" s="75">
        <f t="shared" si="8"/>
        <v>10.086337493915192</v>
      </c>
      <c r="G83" s="75">
        <f t="shared" si="9"/>
        <v>4.9578752762496396</v>
      </c>
      <c r="K83" s="73">
        <f t="shared" si="10"/>
        <v>86.31246337610898</v>
      </c>
      <c r="L83" s="82">
        <f t="shared" si="11"/>
        <v>4.5484284206674511E-2</v>
      </c>
      <c r="M83" s="82">
        <f t="shared" si="12"/>
        <v>3.0137946922994305E-2</v>
      </c>
      <c r="N83" s="82">
        <f t="shared" si="13"/>
        <v>2.8734127588849308E-2</v>
      </c>
      <c r="O83" s="82">
        <f t="shared" si="14"/>
        <v>4.5642630567625596E-2</v>
      </c>
      <c r="P83" s="82">
        <f t="shared" si="15"/>
        <v>2.7077992783046241E-2</v>
      </c>
      <c r="Q83" s="82">
        <f t="shared" si="16"/>
        <v>1.3310015754531319E-2</v>
      </c>
      <c r="R83" s="82"/>
      <c r="S83" s="22">
        <f t="shared" si="48"/>
        <v>86.31246337610898</v>
      </c>
      <c r="T83" s="22">
        <f t="shared" si="56"/>
        <v>-26.8427727091983</v>
      </c>
      <c r="U83" s="22">
        <f t="shared" si="56"/>
        <v>-30.417726726150534</v>
      </c>
      <c r="V83" s="22">
        <f t="shared" si="56"/>
        <v>-30.832039683221208</v>
      </c>
      <c r="W83" s="22">
        <f t="shared" si="56"/>
        <v>-26.812586668038026</v>
      </c>
      <c r="X83" s="22">
        <f t="shared" si="56"/>
        <v>-31.347670636927987</v>
      </c>
      <c r="Y83" s="22">
        <f t="shared" si="56"/>
        <v>-37.51642860936154</v>
      </c>
      <c r="AA83" s="83">
        <f t="shared" si="18"/>
        <v>86312.463376108979</v>
      </c>
      <c r="AB83" s="83">
        <f t="shared" si="19"/>
        <v>71003.17331895692</v>
      </c>
      <c r="AC83" s="22">
        <f t="shared" si="20"/>
        <v>51787.47802566539</v>
      </c>
      <c r="AD83" s="83">
        <f t="shared" si="21"/>
        <v>-2214952.4002156463</v>
      </c>
      <c r="AE83" s="83">
        <f t="shared" si="49"/>
        <v>51787.47802566539</v>
      </c>
      <c r="AF83" s="22">
        <f t="shared" si="22"/>
        <v>20000</v>
      </c>
      <c r="AG83" s="83"/>
      <c r="AH83" s="83">
        <f t="shared" si="23"/>
        <v>86312.463376108979</v>
      </c>
      <c r="AI83" s="83">
        <f t="shared" si="24"/>
        <v>145501.58665947846</v>
      </c>
      <c r="AJ83" s="22">
        <f t="shared" si="25"/>
        <v>51787.47802566539</v>
      </c>
      <c r="AK83" s="83">
        <f t="shared" si="26"/>
        <v>-2214952.4002156463</v>
      </c>
      <c r="AL83" s="83">
        <f t="shared" si="50"/>
        <v>51787.47802566539</v>
      </c>
      <c r="AM83" s="22">
        <f t="shared" si="27"/>
        <v>20000</v>
      </c>
      <c r="AN83" s="83"/>
      <c r="AO83" s="83">
        <f t="shared" si="28"/>
        <v>86312.463376108979</v>
      </c>
      <c r="AP83" s="83">
        <f t="shared" si="29"/>
        <v>-28996.82668104308</v>
      </c>
      <c r="AQ83" s="22">
        <f t="shared" si="30"/>
        <v>51787.47802566539</v>
      </c>
      <c r="AR83" s="83">
        <f t="shared" si="31"/>
        <v>-2214952.4002156463</v>
      </c>
      <c r="AS83" s="83">
        <f t="shared" si="51"/>
        <v>51787.47802566539</v>
      </c>
      <c r="AT83" s="22">
        <f t="shared" si="32"/>
        <v>20000</v>
      </c>
      <c r="AU83" s="22"/>
      <c r="AV83" s="83">
        <f t="shared" si="33"/>
        <v>86312.463376108979</v>
      </c>
      <c r="AW83" s="83">
        <f t="shared" si="34"/>
        <v>61003.17331895692</v>
      </c>
      <c r="AX83" s="22">
        <f t="shared" si="35"/>
        <v>51787.47802566539</v>
      </c>
      <c r="AY83" s="83">
        <f t="shared" si="36"/>
        <v>-2224952.4002156463</v>
      </c>
      <c r="AZ83" s="83">
        <f t="shared" si="52"/>
        <v>51787.47802566539</v>
      </c>
      <c r="BA83" s="22">
        <f t="shared" si="37"/>
        <v>10000</v>
      </c>
      <c r="BB83" s="83"/>
      <c r="BC83" s="83">
        <f t="shared" si="38"/>
        <v>86312.463376108979</v>
      </c>
      <c r="BD83" s="83">
        <f t="shared" si="39"/>
        <v>45501.58665947846</v>
      </c>
      <c r="BE83" s="22">
        <f t="shared" si="40"/>
        <v>51787.47802566539</v>
      </c>
      <c r="BF83" s="83">
        <f t="shared" si="41"/>
        <v>-2214952.4002156463</v>
      </c>
      <c r="BG83" s="83">
        <f t="shared" si="53"/>
        <v>51787.47802566539</v>
      </c>
      <c r="BH83" s="22">
        <f t="shared" si="42"/>
        <v>20000</v>
      </c>
      <c r="BJ83" s="83">
        <f t="shared" si="43"/>
        <v>86312.463376108979</v>
      </c>
      <c r="BK83" s="83">
        <f t="shared" si="44"/>
        <v>-177993.65336208616</v>
      </c>
      <c r="BL83" s="22">
        <f t="shared" si="45"/>
        <v>51787.47802566539</v>
      </c>
      <c r="BM83" s="83">
        <f t="shared" si="46"/>
        <v>-2214952.4002156463</v>
      </c>
      <c r="BN83" s="83">
        <f t="shared" si="54"/>
        <v>51787.47802566539</v>
      </c>
      <c r="BO83" s="22">
        <f t="shared" si="47"/>
        <v>20000</v>
      </c>
    </row>
    <row r="84" spans="1:67" x14ac:dyDescent="0.15">
      <c r="A84" s="76">
        <f t="shared" si="55"/>
        <v>16.484466236095109</v>
      </c>
      <c r="B84" s="75">
        <f t="shared" si="4"/>
        <v>21.411388821023774</v>
      </c>
      <c r="C84" s="75">
        <f t="shared" si="5"/>
        <v>14.633102918672014</v>
      </c>
      <c r="D84" s="75">
        <f t="shared" si="6"/>
        <v>8.371264842580759</v>
      </c>
      <c r="E84" s="75">
        <f t="shared" si="7"/>
        <v>20.643762005549956</v>
      </c>
      <c r="F84" s="75">
        <f t="shared" si="8"/>
        <v>11.287204141016861</v>
      </c>
      <c r="G84" s="75">
        <f t="shared" si="9"/>
        <v>3.6203922757495257</v>
      </c>
      <c r="K84" s="73">
        <f t="shared" si="10"/>
        <v>103.57495605133076</v>
      </c>
      <c r="L84" s="82">
        <f t="shared" si="11"/>
        <v>3.9917682398511477E-2</v>
      </c>
      <c r="M84" s="82">
        <f t="shared" si="12"/>
        <v>2.7280787794518764E-2</v>
      </c>
      <c r="N84" s="82">
        <f t="shared" si="13"/>
        <v>1.560671725002032E-2</v>
      </c>
      <c r="O84" s="82">
        <f t="shared" si="14"/>
        <v>3.8486580302482219E-2</v>
      </c>
      <c r="P84" s="82">
        <f t="shared" si="15"/>
        <v>2.1042961474123163E-2</v>
      </c>
      <c r="Q84" s="82">
        <f t="shared" si="16"/>
        <v>6.7495700642964517E-3</v>
      </c>
      <c r="R84" s="82"/>
      <c r="S84" s="22">
        <f t="shared" si="48"/>
        <v>103.57495605133076</v>
      </c>
      <c r="T84" s="22">
        <f t="shared" si="56"/>
        <v>-27.976693631639336</v>
      </c>
      <c r="U84" s="22">
        <f t="shared" si="56"/>
        <v>-31.282861851959002</v>
      </c>
      <c r="V84" s="22">
        <f t="shared" si="56"/>
        <v>-36.133768755063535</v>
      </c>
      <c r="W84" s="22">
        <f t="shared" si="56"/>
        <v>-28.293813522322793</v>
      </c>
      <c r="X84" s="22">
        <f t="shared" si="56"/>
        <v>-33.537862798576363</v>
      </c>
      <c r="Y84" s="22">
        <f t="shared" si="56"/>
        <v>-43.414477801602686</v>
      </c>
      <c r="AA84" s="83">
        <f t="shared" si="18"/>
        <v>103574.95605133075</v>
      </c>
      <c r="AB84" s="83">
        <f t="shared" si="19"/>
        <v>5444.5695792980259</v>
      </c>
      <c r="AC84" s="22">
        <f t="shared" si="20"/>
        <v>62144.973630798457</v>
      </c>
      <c r="AD84" s="83">
        <f t="shared" si="21"/>
        <v>-3198331.4563105293</v>
      </c>
      <c r="AE84" s="83">
        <f t="shared" si="49"/>
        <v>62144.973630798457</v>
      </c>
      <c r="AF84" s="22">
        <f t="shared" si="22"/>
        <v>20000</v>
      </c>
      <c r="AG84" s="83"/>
      <c r="AH84" s="83">
        <f t="shared" si="23"/>
        <v>103574.95605133075</v>
      </c>
      <c r="AI84" s="83">
        <f t="shared" si="24"/>
        <v>112722.28478964901</v>
      </c>
      <c r="AJ84" s="22">
        <f t="shared" si="25"/>
        <v>62144.973630798457</v>
      </c>
      <c r="AK84" s="83">
        <f t="shared" si="26"/>
        <v>-3198331.4563105293</v>
      </c>
      <c r="AL84" s="83">
        <f t="shared" si="50"/>
        <v>62144.973630798457</v>
      </c>
      <c r="AM84" s="22">
        <f t="shared" si="27"/>
        <v>20000</v>
      </c>
      <c r="AN84" s="83"/>
      <c r="AO84" s="83">
        <f t="shared" si="28"/>
        <v>103574.95605133075</v>
      </c>
      <c r="AP84" s="83">
        <f t="shared" si="29"/>
        <v>-94555.430420701974</v>
      </c>
      <c r="AQ84" s="22">
        <f t="shared" si="30"/>
        <v>62144.973630798457</v>
      </c>
      <c r="AR84" s="83">
        <f t="shared" si="31"/>
        <v>-3198331.4563105293</v>
      </c>
      <c r="AS84" s="83">
        <f t="shared" si="51"/>
        <v>62144.973630798457</v>
      </c>
      <c r="AT84" s="22">
        <f t="shared" si="32"/>
        <v>20000</v>
      </c>
      <c r="AU84" s="22"/>
      <c r="AV84" s="83">
        <f t="shared" si="33"/>
        <v>103574.95605133075</v>
      </c>
      <c r="AW84" s="83">
        <f t="shared" si="34"/>
        <v>-4555.4304207019741</v>
      </c>
      <c r="AX84" s="22">
        <f t="shared" si="35"/>
        <v>62144.973630798457</v>
      </c>
      <c r="AY84" s="83">
        <f t="shared" si="36"/>
        <v>-3208331.4563105293</v>
      </c>
      <c r="AZ84" s="83">
        <f t="shared" si="52"/>
        <v>62144.973630798457</v>
      </c>
      <c r="BA84" s="22">
        <f t="shared" si="37"/>
        <v>10000</v>
      </c>
      <c r="BB84" s="83"/>
      <c r="BC84" s="83">
        <f t="shared" si="38"/>
        <v>103574.95605133075</v>
      </c>
      <c r="BD84" s="83">
        <f t="shared" si="39"/>
        <v>12722.284789649013</v>
      </c>
      <c r="BE84" s="22">
        <f t="shared" si="40"/>
        <v>62144.973630798457</v>
      </c>
      <c r="BF84" s="83">
        <f t="shared" si="41"/>
        <v>-3198331.4563105293</v>
      </c>
      <c r="BG84" s="83">
        <f t="shared" si="53"/>
        <v>62144.973630798457</v>
      </c>
      <c r="BH84" s="22">
        <f t="shared" si="42"/>
        <v>20000</v>
      </c>
      <c r="BJ84" s="83">
        <f t="shared" si="43"/>
        <v>103574.95605133075</v>
      </c>
      <c r="BK84" s="83">
        <f t="shared" si="44"/>
        <v>-309110.86084140395</v>
      </c>
      <c r="BL84" s="22">
        <f t="shared" si="45"/>
        <v>62144.973630798457</v>
      </c>
      <c r="BM84" s="83">
        <f t="shared" si="46"/>
        <v>-3198331.4563105293</v>
      </c>
      <c r="BN84" s="83">
        <f t="shared" si="54"/>
        <v>62144.973630798457</v>
      </c>
      <c r="BO84" s="22">
        <f t="shared" si="47"/>
        <v>20000</v>
      </c>
    </row>
    <row r="85" spans="1:67" x14ac:dyDescent="0.15">
      <c r="A85" s="76">
        <f t="shared" si="55"/>
        <v>19.78135948331413</v>
      </c>
      <c r="B85" s="75">
        <f t="shared" si="4"/>
        <v>17.291311436549659</v>
      </c>
      <c r="C85" s="75">
        <f t="shared" si="5"/>
        <v>18.949481386363747</v>
      </c>
      <c r="D85" s="75">
        <f t="shared" si="6"/>
        <v>6.3444919450123862</v>
      </c>
      <c r="E85" s="75">
        <f t="shared" si="7"/>
        <v>16.200158244619065</v>
      </c>
      <c r="F85" s="75">
        <f t="shared" si="8"/>
        <v>11.109960013772039</v>
      </c>
      <c r="G85" s="75">
        <f t="shared" si="9"/>
        <v>2.8051971144917225</v>
      </c>
      <c r="K85" s="73">
        <f t="shared" si="10"/>
        <v>124.28994726159691</v>
      </c>
      <c r="L85" s="82">
        <f t="shared" si="11"/>
        <v>2.2386485656830966E-2</v>
      </c>
      <c r="M85" s="82">
        <f t="shared" si="12"/>
        <v>2.4533263125637476E-2</v>
      </c>
      <c r="N85" s="82">
        <f t="shared" si="13"/>
        <v>8.2140026479819439E-3</v>
      </c>
      <c r="O85" s="82">
        <f t="shared" si="14"/>
        <v>2.0973805920525564E-2</v>
      </c>
      <c r="P85" s="82">
        <f t="shared" si="15"/>
        <v>1.4383695615507458E-2</v>
      </c>
      <c r="Q85" s="82">
        <f t="shared" si="16"/>
        <v>3.6317953787710789E-3</v>
      </c>
      <c r="R85" s="82"/>
      <c r="S85" s="22">
        <f t="shared" si="48"/>
        <v>124.28994726159691</v>
      </c>
      <c r="T85" s="22">
        <f t="shared" si="56"/>
        <v>-33.000281576065248</v>
      </c>
      <c r="U85" s="22">
        <f t="shared" si="56"/>
        <v>-32.204893664321418</v>
      </c>
      <c r="V85" s="22">
        <f t="shared" si="56"/>
        <v>-41.70890322954078</v>
      </c>
      <c r="W85" s="22">
        <f t="shared" si="56"/>
        <v>-33.566455100462825</v>
      </c>
      <c r="X85" s="22">
        <f t="shared" si="56"/>
        <v>-36.842590319091499</v>
      </c>
      <c r="Y85" s="22">
        <f t="shared" si="56"/>
        <v>-48.797572566311878</v>
      </c>
      <c r="AA85" s="83">
        <f t="shared" si="18"/>
        <v>124289.94726159691</v>
      </c>
      <c r="AB85" s="83">
        <f t="shared" si="19"/>
        <v>-88959.81980581081</v>
      </c>
      <c r="AC85" s="22">
        <f t="shared" si="20"/>
        <v>74573.968356958139</v>
      </c>
      <c r="AD85" s="83">
        <f t="shared" si="21"/>
        <v>-4614397.2970871618</v>
      </c>
      <c r="AE85" s="83">
        <f t="shared" si="49"/>
        <v>74573.968356958139</v>
      </c>
      <c r="AF85" s="22">
        <f t="shared" si="22"/>
        <v>20000</v>
      </c>
      <c r="AG85" s="83"/>
      <c r="AH85" s="83">
        <f t="shared" si="23"/>
        <v>124289.94726159691</v>
      </c>
      <c r="AI85" s="83">
        <f t="shared" si="24"/>
        <v>65520.090097094595</v>
      </c>
      <c r="AJ85" s="22">
        <f t="shared" si="25"/>
        <v>74573.968356958139</v>
      </c>
      <c r="AK85" s="83">
        <f t="shared" si="26"/>
        <v>-4614397.2970871618</v>
      </c>
      <c r="AL85" s="83">
        <f t="shared" si="50"/>
        <v>74573.968356958139</v>
      </c>
      <c r="AM85" s="22">
        <f t="shared" si="27"/>
        <v>20000</v>
      </c>
      <c r="AN85" s="83"/>
      <c r="AO85" s="83">
        <f t="shared" si="28"/>
        <v>124289.94726159691</v>
      </c>
      <c r="AP85" s="83">
        <f t="shared" si="29"/>
        <v>-188959.81980581081</v>
      </c>
      <c r="AQ85" s="22">
        <f t="shared" si="30"/>
        <v>74573.968356958139</v>
      </c>
      <c r="AR85" s="83">
        <f t="shared" si="31"/>
        <v>-4614397.2970871618</v>
      </c>
      <c r="AS85" s="83">
        <f t="shared" si="51"/>
        <v>74573.968356958139</v>
      </c>
      <c r="AT85" s="22">
        <f t="shared" si="32"/>
        <v>20000</v>
      </c>
      <c r="AU85" s="22"/>
      <c r="AV85" s="83">
        <f t="shared" si="33"/>
        <v>124289.94726159691</v>
      </c>
      <c r="AW85" s="83">
        <f t="shared" si="34"/>
        <v>-98959.81980581081</v>
      </c>
      <c r="AX85" s="22">
        <f t="shared" si="35"/>
        <v>74573.968356958139</v>
      </c>
      <c r="AY85" s="83">
        <f t="shared" si="36"/>
        <v>-4624397.2970871618</v>
      </c>
      <c r="AZ85" s="83">
        <f t="shared" si="52"/>
        <v>74573.968356958139</v>
      </c>
      <c r="BA85" s="22">
        <f t="shared" si="37"/>
        <v>10000</v>
      </c>
      <c r="BB85" s="83"/>
      <c r="BC85" s="83">
        <f t="shared" si="38"/>
        <v>124289.94726159691</v>
      </c>
      <c r="BD85" s="83">
        <f t="shared" si="39"/>
        <v>-34479.909902905405</v>
      </c>
      <c r="BE85" s="22">
        <f t="shared" si="40"/>
        <v>74573.968356958139</v>
      </c>
      <c r="BF85" s="83">
        <f t="shared" si="41"/>
        <v>-4614397.2970871618</v>
      </c>
      <c r="BG85" s="83">
        <f t="shared" si="53"/>
        <v>74573.968356958139</v>
      </c>
      <c r="BH85" s="22">
        <f t="shared" si="42"/>
        <v>20000</v>
      </c>
      <c r="BJ85" s="83">
        <f t="shared" si="43"/>
        <v>124289.94726159691</v>
      </c>
      <c r="BK85" s="83">
        <f t="shared" si="44"/>
        <v>-497919.63961162162</v>
      </c>
      <c r="BL85" s="22">
        <f t="shared" si="45"/>
        <v>74573.968356958139</v>
      </c>
      <c r="BM85" s="83">
        <f t="shared" si="46"/>
        <v>-4614397.2970871618</v>
      </c>
      <c r="BN85" s="83">
        <f t="shared" si="54"/>
        <v>74573.968356958139</v>
      </c>
      <c r="BO85" s="22">
        <f t="shared" si="47"/>
        <v>20000</v>
      </c>
    </row>
    <row r="86" spans="1:67" x14ac:dyDescent="0.15">
      <c r="A86" s="76">
        <f t="shared" si="55"/>
        <v>23.737631379976957</v>
      </c>
      <c r="B86" s="75">
        <f t="shared" si="4"/>
        <v>11.79936798377063</v>
      </c>
      <c r="C86" s="75">
        <f t="shared" si="5"/>
        <v>21.367008963265548</v>
      </c>
      <c r="D86" s="75">
        <f t="shared" si="6"/>
        <v>4.9747811183030999</v>
      </c>
      <c r="E86" s="75">
        <f t="shared" si="7"/>
        <v>11.226633922540262</v>
      </c>
      <c r="F86" s="75">
        <f t="shared" si="8"/>
        <v>9.8048816470046738</v>
      </c>
      <c r="G86" s="75">
        <f t="shared" si="9"/>
        <v>2.2725857116155233</v>
      </c>
      <c r="K86" s="73">
        <f t="shared" si="10"/>
        <v>149.14793671391629</v>
      </c>
      <c r="L86" s="82">
        <f t="shared" si="11"/>
        <v>1.0608506373981317E-2</v>
      </c>
      <c r="M86" s="82">
        <f t="shared" si="12"/>
        <v>1.9210524757893237E-2</v>
      </c>
      <c r="N86" s="82">
        <f t="shared" si="13"/>
        <v>4.4726969508256205E-3</v>
      </c>
      <c r="O86" s="82">
        <f t="shared" si="14"/>
        <v>1.0093576002497391E-2</v>
      </c>
      <c r="P86" s="82">
        <f t="shared" si="15"/>
        <v>8.8153153280284609E-3</v>
      </c>
      <c r="Q86" s="82">
        <f t="shared" si="16"/>
        <v>2.0432229963717016E-3</v>
      </c>
      <c r="R86" s="82"/>
      <c r="S86" s="22">
        <f t="shared" si="48"/>
        <v>149.14793671391629</v>
      </c>
      <c r="T86" s="22">
        <f t="shared" si="56"/>
        <v>-39.486915166838095</v>
      </c>
      <c r="U86" s="22">
        <f t="shared" si="56"/>
        <v>-34.329215434317746</v>
      </c>
      <c r="V86" s="22">
        <f t="shared" si="56"/>
        <v>-46.988610532155207</v>
      </c>
      <c r="W86" s="22">
        <f t="shared" si="56"/>
        <v>-39.919098849671421</v>
      </c>
      <c r="X86" s="22">
        <f t="shared" si="56"/>
        <v>-41.095242963326257</v>
      </c>
      <c r="Y86" s="22">
        <f t="shared" si="56"/>
        <v>-53.793684641813556</v>
      </c>
      <c r="AA86" s="83">
        <f t="shared" si="18"/>
        <v>149147.93671391631</v>
      </c>
      <c r="AB86" s="83">
        <f t="shared" si="19"/>
        <v>-224902.1405203676</v>
      </c>
      <c r="AC86" s="22">
        <f t="shared" si="20"/>
        <v>89488.762028349782</v>
      </c>
      <c r="AD86" s="83">
        <f t="shared" si="21"/>
        <v>-6653532.1078055138</v>
      </c>
      <c r="AE86" s="83">
        <f t="shared" si="49"/>
        <v>89488.762028349782</v>
      </c>
      <c r="AF86" s="22">
        <f t="shared" si="22"/>
        <v>20000</v>
      </c>
      <c r="AG86" s="83"/>
      <c r="AH86" s="83">
        <f t="shared" si="23"/>
        <v>149147.93671391631</v>
      </c>
      <c r="AI86" s="83">
        <f t="shared" si="24"/>
        <v>-2451.0702601837984</v>
      </c>
      <c r="AJ86" s="22">
        <f t="shared" si="25"/>
        <v>89488.762028349782</v>
      </c>
      <c r="AK86" s="83">
        <f t="shared" si="26"/>
        <v>-6653532.1078055138</v>
      </c>
      <c r="AL86" s="83">
        <f t="shared" si="50"/>
        <v>89488.762028349782</v>
      </c>
      <c r="AM86" s="22">
        <f t="shared" si="27"/>
        <v>20000</v>
      </c>
      <c r="AN86" s="83"/>
      <c r="AO86" s="83">
        <f t="shared" si="28"/>
        <v>149147.93671391631</v>
      </c>
      <c r="AP86" s="83">
        <f t="shared" si="29"/>
        <v>-324902.1405203676</v>
      </c>
      <c r="AQ86" s="22">
        <f t="shared" si="30"/>
        <v>89488.762028349782</v>
      </c>
      <c r="AR86" s="83">
        <f t="shared" si="31"/>
        <v>-6653532.1078055138</v>
      </c>
      <c r="AS86" s="83">
        <f t="shared" si="51"/>
        <v>89488.762028349782</v>
      </c>
      <c r="AT86" s="22">
        <f t="shared" si="32"/>
        <v>20000</v>
      </c>
      <c r="AU86" s="22"/>
      <c r="AV86" s="83">
        <f t="shared" si="33"/>
        <v>149147.93671391631</v>
      </c>
      <c r="AW86" s="83">
        <f t="shared" si="34"/>
        <v>-234902.1405203676</v>
      </c>
      <c r="AX86" s="22">
        <f t="shared" si="35"/>
        <v>89488.762028349782</v>
      </c>
      <c r="AY86" s="83">
        <f t="shared" si="36"/>
        <v>-6663532.1078055138</v>
      </c>
      <c r="AZ86" s="83">
        <f t="shared" si="52"/>
        <v>89488.762028349782</v>
      </c>
      <c r="BA86" s="22">
        <f t="shared" si="37"/>
        <v>10000</v>
      </c>
      <c r="BB86" s="83"/>
      <c r="BC86" s="83">
        <f t="shared" si="38"/>
        <v>149147.93671391631</v>
      </c>
      <c r="BD86" s="83">
        <f t="shared" si="39"/>
        <v>-102451.0702601838</v>
      </c>
      <c r="BE86" s="22">
        <f t="shared" si="40"/>
        <v>89488.762028349782</v>
      </c>
      <c r="BF86" s="83">
        <f t="shared" si="41"/>
        <v>-6653532.1078055138</v>
      </c>
      <c r="BG86" s="83">
        <f t="shared" si="53"/>
        <v>89488.762028349782</v>
      </c>
      <c r="BH86" s="22">
        <f t="shared" si="42"/>
        <v>20000</v>
      </c>
      <c r="BJ86" s="83">
        <f t="shared" si="43"/>
        <v>149147.93671391631</v>
      </c>
      <c r="BK86" s="83">
        <f t="shared" si="44"/>
        <v>-769804.28104073519</v>
      </c>
      <c r="BL86" s="22">
        <f t="shared" si="45"/>
        <v>89488.762028349782</v>
      </c>
      <c r="BM86" s="83">
        <f t="shared" si="46"/>
        <v>-6653532.1078055138</v>
      </c>
      <c r="BN86" s="83">
        <f t="shared" si="54"/>
        <v>89488.762028349782</v>
      </c>
      <c r="BO86" s="22">
        <f t="shared" si="47"/>
        <v>20000</v>
      </c>
    </row>
    <row r="87" spans="1:67" s="26" customFormat="1" x14ac:dyDescent="0.15">
      <c r="A87" s="87">
        <f t="shared" si="55"/>
        <v>28.485157655972348</v>
      </c>
      <c r="B87" s="88">
        <f t="shared" si="4"/>
        <v>8.4537926522883104</v>
      </c>
      <c r="C87" s="88">
        <f t="shared" si="5"/>
        <v>18.799512746552331</v>
      </c>
      <c r="D87" s="88">
        <f t="shared" si="6"/>
        <v>4.0657964747917497</v>
      </c>
      <c r="E87" s="88">
        <f t="shared" si="7"/>
        <v>8.1748270492148052</v>
      </c>
      <c r="F87" s="88">
        <f t="shared" si="8"/>
        <v>8.3157001234061632</v>
      </c>
      <c r="G87" s="88">
        <f t="shared" si="9"/>
        <v>1.9073634629185343</v>
      </c>
      <c r="H87" s="88">
        <f>C87/B87</f>
        <v>2.2237962911786813</v>
      </c>
      <c r="K87" s="89">
        <f t="shared" si="10"/>
        <v>178.97752405669956</v>
      </c>
      <c r="L87" s="90">
        <f t="shared" si="11"/>
        <v>5.2781848475715494E-3</v>
      </c>
      <c r="M87" s="90">
        <f t="shared" si="12"/>
        <v>1.1737607888185125E-2</v>
      </c>
      <c r="N87" s="90">
        <f t="shared" si="13"/>
        <v>2.5385085995392543E-3</v>
      </c>
      <c r="O87" s="90">
        <f t="shared" si="14"/>
        <v>5.1040107129909397E-3</v>
      </c>
      <c r="P87" s="90">
        <f t="shared" si="15"/>
        <v>5.1919658067826457E-3</v>
      </c>
      <c r="Q87" s="90">
        <f t="shared" si="16"/>
        <v>1.1908757811871708E-3</v>
      </c>
      <c r="R87" s="90"/>
      <c r="S87" s="35">
        <f t="shared" si="48"/>
        <v>178.97752405669956</v>
      </c>
      <c r="T87" s="35">
        <f t="shared" si="56"/>
        <v>-45.550308088023868</v>
      </c>
      <c r="U87" s="35">
        <f t="shared" si="56"/>
        <v>-38.608408056343066</v>
      </c>
      <c r="V87" s="35">
        <f t="shared" si="56"/>
        <v>-51.908427220518476</v>
      </c>
      <c r="W87" s="35">
        <f t="shared" si="56"/>
        <v>-45.841768454593812</v>
      </c>
      <c r="X87" s="35">
        <f t="shared" si="56"/>
        <v>-45.693363527445399</v>
      </c>
      <c r="Y87" s="35">
        <f t="shared" si="56"/>
        <v>-58.482670737740996</v>
      </c>
      <c r="AA87" s="91">
        <f t="shared" si="18"/>
        <v>178977.52405669956</v>
      </c>
      <c r="AB87" s="91">
        <f t="shared" si="19"/>
        <v>-420659.08234932937</v>
      </c>
      <c r="AC87" s="35">
        <f t="shared" si="20"/>
        <v>107386.51443401974</v>
      </c>
      <c r="AD87" s="91">
        <f t="shared" si="21"/>
        <v>-9589886.2352399416</v>
      </c>
      <c r="AE87" s="91">
        <f t="shared" si="49"/>
        <v>107386.51443401974</v>
      </c>
      <c r="AF87" s="35">
        <f t="shared" si="22"/>
        <v>20000</v>
      </c>
      <c r="AG87" s="91"/>
      <c r="AH87" s="91">
        <f t="shared" si="23"/>
        <v>178977.52405669956</v>
      </c>
      <c r="AI87" s="91">
        <f t="shared" si="24"/>
        <v>-100329.54117466469</v>
      </c>
      <c r="AJ87" s="35">
        <f t="shared" si="25"/>
        <v>107386.51443401974</v>
      </c>
      <c r="AK87" s="91">
        <f t="shared" si="26"/>
        <v>-9589886.2352399416</v>
      </c>
      <c r="AL87" s="91">
        <f t="shared" si="50"/>
        <v>107386.51443401974</v>
      </c>
      <c r="AM87" s="35">
        <f t="shared" si="27"/>
        <v>20000</v>
      </c>
      <c r="AN87" s="91"/>
      <c r="AO87" s="91">
        <f t="shared" si="28"/>
        <v>178977.52405669956</v>
      </c>
      <c r="AP87" s="91">
        <f t="shared" si="29"/>
        <v>-520659.08234932937</v>
      </c>
      <c r="AQ87" s="35">
        <f t="shared" si="30"/>
        <v>107386.51443401974</v>
      </c>
      <c r="AR87" s="91">
        <f t="shared" si="31"/>
        <v>-9589886.2352399416</v>
      </c>
      <c r="AS87" s="91">
        <f t="shared" si="51"/>
        <v>107386.51443401974</v>
      </c>
      <c r="AT87" s="35">
        <f t="shared" si="32"/>
        <v>20000</v>
      </c>
      <c r="AU87" s="35"/>
      <c r="AV87" s="91">
        <f t="shared" si="33"/>
        <v>178977.52405669956</v>
      </c>
      <c r="AW87" s="91">
        <f t="shared" si="34"/>
        <v>-430659.08234932937</v>
      </c>
      <c r="AX87" s="35">
        <f t="shared" si="35"/>
        <v>107386.51443401974</v>
      </c>
      <c r="AY87" s="91">
        <f t="shared" si="36"/>
        <v>-9599886.2352399416</v>
      </c>
      <c r="AZ87" s="91">
        <f t="shared" si="52"/>
        <v>107386.51443401974</v>
      </c>
      <c r="BA87" s="35">
        <f t="shared" si="37"/>
        <v>10000</v>
      </c>
      <c r="BB87" s="91"/>
      <c r="BC87" s="91">
        <f t="shared" si="38"/>
        <v>178977.52405669956</v>
      </c>
      <c r="BD87" s="91">
        <f t="shared" si="39"/>
        <v>-200329.54117466469</v>
      </c>
      <c r="BE87" s="35">
        <f t="shared" si="40"/>
        <v>107386.51443401974</v>
      </c>
      <c r="BF87" s="91">
        <f t="shared" si="41"/>
        <v>-9589886.2352399416</v>
      </c>
      <c r="BG87" s="91">
        <f t="shared" si="53"/>
        <v>107386.51443401974</v>
      </c>
      <c r="BH87" s="35">
        <f t="shared" si="42"/>
        <v>20000</v>
      </c>
      <c r="BJ87" s="91">
        <f t="shared" si="43"/>
        <v>178977.52405669956</v>
      </c>
      <c r="BK87" s="91">
        <f t="shared" si="44"/>
        <v>-1161318.1646986587</v>
      </c>
      <c r="BL87" s="35">
        <f t="shared" si="45"/>
        <v>107386.51443401974</v>
      </c>
      <c r="BM87" s="91">
        <f t="shared" si="46"/>
        <v>-9589886.2352399416</v>
      </c>
      <c r="BN87" s="91">
        <f t="shared" si="54"/>
        <v>107386.51443401974</v>
      </c>
      <c r="BO87" s="35">
        <f t="shared" si="47"/>
        <v>20000</v>
      </c>
    </row>
    <row r="88" spans="1:67" x14ac:dyDescent="0.15">
      <c r="A88" s="76">
        <f t="shared" si="55"/>
        <v>34.182189187166813</v>
      </c>
      <c r="B88" s="75">
        <f t="shared" ref="B88:B105" si="57">D$36*L88*$K88^2</f>
        <v>6.4380262980773715</v>
      </c>
      <c r="C88" s="75">
        <f t="shared" ref="C88:C105" si="58">E$36*M88*$K88^2</f>
        <v>14.615946933829385</v>
      </c>
      <c r="D88" s="75">
        <f t="shared" ref="D88:D105" si="59">F$36*N88*$K88^2</f>
        <v>3.4486854747034155</v>
      </c>
      <c r="E88" s="75">
        <f t="shared" ref="E88:E105" si="60">G$36*O88*$K88^2</f>
        <v>6.294823888147179</v>
      </c>
      <c r="F88" s="75">
        <f t="shared" ref="F88:F105" si="61">H$36*P88*$K88^2</f>
        <v>7.0950373531983342</v>
      </c>
      <c r="G88" s="75">
        <f t="shared" ref="G88:G105" si="62">I$36*Q88*$K88^2</f>
        <v>1.649418849493548</v>
      </c>
      <c r="K88" s="73">
        <f t="shared" si="10"/>
        <v>214.77302886803943</v>
      </c>
      <c r="L88" s="82">
        <f t="shared" ref="L88:L105" si="63">ABS(SQRT((D$38^2*$K88^2+D$35^2)*(AE88^2+AF88^2)/((AA88*AD88+AB88*AC88-2*AE88*AF88)^2+(AB88*AD88+AE88^2-AF88^2-AA88*AC88)^2)))</f>
        <v>2.7914076107325133E-3</v>
      </c>
      <c r="M88" s="82">
        <f t="shared" ref="M88:M105" si="64">ABS(SQRT((E$38^2*$K88^2+E$35^2)*(AL88^2+AM88^2)/((AH88*AK88+AI88*AJ88-2*AL88*AM88)^2+(AI88*AK88+AL88^2-AM88^2-AH88*AJ88)^2)))</f>
        <v>6.3372008159298708E-3</v>
      </c>
      <c r="N88" s="82">
        <f t="shared" ref="N88:N105" si="65">ABS(SQRT((F$38^2*$K88^2+F$35^2)*(AS88^2+AT88^2)/((AO88*AR88+AP88*AQ88-2*AS88*AT88)^2+(AP88*AR88+AS88^2-AT88^2-AO88*AQ88)^2)))</f>
        <v>1.4952854237306645E-3</v>
      </c>
      <c r="O88" s="82">
        <f t="shared" ref="O88:O105" si="66">ABS(SQRT((G$38^2*$K88^2+G$35^2)*(AZ88^2+BA88^2)/((AV88*AY88+AW88*AX88-2*AZ88*BA88)^2+(AW88*AY88+AZ88^2-BA88^2-AV88*AX88)^2)))</f>
        <v>2.7293177281432247E-3</v>
      </c>
      <c r="P88" s="82">
        <f t="shared" ref="P88:P105" si="67">ABS(SQRT((H$38^2*$K88^2+H$35^2)*(BG88^2+BH88^2)/((BC88*BF88+BD88*BE88-2*BG88*BH88)^2+(BD88*BF88+BG88^2-BH88^2-BC88*BE88)^2)))</f>
        <v>3.0762752976116036E-3</v>
      </c>
      <c r="Q88" s="82">
        <f t="shared" ref="Q88:Q105" si="68">ABS(SQRT((I$38^2*$K88^2+I$35^2)*(BN88^2+BO88^2)/((BJ88*BM88+BK88*BL88-2*BN88*BO88)^2+(BK88*BM88+BN88^2-BO88^2-BJ88*BL88)^2)))</f>
        <v>7.1515711750617386E-4</v>
      </c>
      <c r="R88" s="82"/>
      <c r="S88" s="22">
        <f t="shared" si="48"/>
        <v>214.77302886803943</v>
      </c>
      <c r="T88" s="22">
        <f t="shared" si="56"/>
        <v>-51.083534834781219</v>
      </c>
      <c r="U88" s="22">
        <f t="shared" si="56"/>
        <v>-43.962050610948324</v>
      </c>
      <c r="V88" s="22">
        <f t="shared" si="56"/>
        <v>-56.505518004720379</v>
      </c>
      <c r="W88" s="22">
        <f t="shared" si="56"/>
        <v>-51.278918077021565</v>
      </c>
      <c r="X88" s="22">
        <f t="shared" si="56"/>
        <v>-50.239496037466196</v>
      </c>
      <c r="Y88" s="22">
        <f t="shared" si="56"/>
        <v>-62.911970694891153</v>
      </c>
      <c r="AA88" s="83">
        <f t="shared" ref="AA88:AA105" si="69">$S88*(D$38+D$37)</f>
        <v>214773.02886803943</v>
      </c>
      <c r="AB88" s="83">
        <f t="shared" ref="AB88:AB105" si="70">D$35+D$34-D$33*$K88^2</f>
        <v>-702549.07858303399</v>
      </c>
      <c r="AC88" s="22">
        <f t="shared" ref="AC88:AC105" si="71">D$37*$K88</f>
        <v>128863.81732082365</v>
      </c>
      <c r="AD88" s="83">
        <f t="shared" ref="AD88:AD105" si="72">D$34-D$32*$K88^2</f>
        <v>-13818236.17874551</v>
      </c>
      <c r="AE88" s="83">
        <f t="shared" si="49"/>
        <v>128863.81732082365</v>
      </c>
      <c r="AF88" s="22">
        <f t="shared" ref="AF88:AF105" si="73">D$34</f>
        <v>20000</v>
      </c>
      <c r="AG88" s="83"/>
      <c r="AH88" s="83">
        <f t="shared" ref="AH88:AH105" si="74">$S88*(E$38+E$37)</f>
        <v>214773.02886803943</v>
      </c>
      <c r="AI88" s="83">
        <f t="shared" ref="AI88:AI105" si="75">E$35+E$34-E$33*$K88^2</f>
        <v>-241274.53929151699</v>
      </c>
      <c r="AJ88" s="22">
        <f t="shared" ref="AJ88:AJ105" si="76">E$37*$K88</f>
        <v>128863.81732082365</v>
      </c>
      <c r="AK88" s="83">
        <f t="shared" ref="AK88:AK105" si="77">E$34-E$32*$K88^2</f>
        <v>-13818236.17874551</v>
      </c>
      <c r="AL88" s="83">
        <f t="shared" si="50"/>
        <v>128863.81732082365</v>
      </c>
      <c r="AM88" s="22">
        <f t="shared" ref="AM88:AM105" si="78">E$34</f>
        <v>20000</v>
      </c>
      <c r="AN88" s="83"/>
      <c r="AO88" s="83">
        <f t="shared" ref="AO88:AO105" si="79">$S88*(F$38+F$37)</f>
        <v>214773.02886803943</v>
      </c>
      <c r="AP88" s="83">
        <f t="shared" ref="AP88:AP105" si="80">F$35+F$34-F$33*$K88^2</f>
        <v>-802549.07858303399</v>
      </c>
      <c r="AQ88" s="22">
        <f t="shared" ref="AQ88:AQ105" si="81">F$37*$K88</f>
        <v>128863.81732082365</v>
      </c>
      <c r="AR88" s="83">
        <f t="shared" ref="AR88:AR105" si="82">F$34-F$32*$K88^2</f>
        <v>-13818236.17874551</v>
      </c>
      <c r="AS88" s="83">
        <f t="shared" si="51"/>
        <v>128863.81732082365</v>
      </c>
      <c r="AT88" s="22">
        <f t="shared" ref="AT88:AT105" si="83">F$34</f>
        <v>20000</v>
      </c>
      <c r="AU88" s="22"/>
      <c r="AV88" s="83">
        <f t="shared" ref="AV88:AV105" si="84">$S88*(G$38+G$37)</f>
        <v>214773.02886803943</v>
      </c>
      <c r="AW88" s="83">
        <f t="shared" ref="AW88:AW105" si="85">G$35+G$34-G$33*$K88^2</f>
        <v>-712549.07858303399</v>
      </c>
      <c r="AX88" s="22">
        <f t="shared" ref="AX88:AX105" si="86">G$37*$K88</f>
        <v>128863.81732082365</v>
      </c>
      <c r="AY88" s="83">
        <f t="shared" ref="AY88:AY105" si="87">G$34-G$32*$K88^2</f>
        <v>-13828236.17874551</v>
      </c>
      <c r="AZ88" s="83">
        <f t="shared" si="52"/>
        <v>128863.81732082365</v>
      </c>
      <c r="BA88" s="22">
        <f t="shared" ref="BA88:BA105" si="88">G$34</f>
        <v>10000</v>
      </c>
      <c r="BB88" s="83"/>
      <c r="BC88" s="83">
        <f t="shared" ref="BC88:BC105" si="89">$S88*(H$38+H$37)</f>
        <v>214773.02886803943</v>
      </c>
      <c r="BD88" s="83">
        <f t="shared" ref="BD88:BD105" si="90">H$35+H$34-H$33*$K88^2</f>
        <v>-341274.53929151699</v>
      </c>
      <c r="BE88" s="22">
        <f t="shared" ref="BE88:BE105" si="91">H$37*$K88</f>
        <v>128863.81732082365</v>
      </c>
      <c r="BF88" s="83">
        <f t="shared" ref="BF88:BF105" si="92">H$34-H$32*$K88^2</f>
        <v>-13818236.17874551</v>
      </c>
      <c r="BG88" s="83">
        <f t="shared" si="53"/>
        <v>128863.81732082365</v>
      </c>
      <c r="BH88" s="22">
        <f t="shared" ref="BH88:BH105" si="93">H$34</f>
        <v>20000</v>
      </c>
      <c r="BJ88" s="83">
        <f t="shared" ref="BJ88:BJ105" si="94">$S88*(I$38+I$37)</f>
        <v>214773.02886803943</v>
      </c>
      <c r="BK88" s="83">
        <f t="shared" ref="BK88:BK105" si="95">I$35+I$34-I$33*$K88^2</f>
        <v>-1725098.157166068</v>
      </c>
      <c r="BL88" s="22">
        <f t="shared" ref="BL88:BL105" si="96">I$37*$K88</f>
        <v>128863.81732082365</v>
      </c>
      <c r="BM88" s="83">
        <f t="shared" ref="BM88:BM105" si="97">I$34-I$32*$K88^2</f>
        <v>-13818236.17874551</v>
      </c>
      <c r="BN88" s="83">
        <f t="shared" si="54"/>
        <v>128863.81732082365</v>
      </c>
      <c r="BO88" s="22">
        <f t="shared" ref="BO88:BO105" si="98">I$34</f>
        <v>20000</v>
      </c>
    </row>
    <row r="89" spans="1:67" x14ac:dyDescent="0.15">
      <c r="A89" s="76">
        <f t="shared" si="55"/>
        <v>41.018627024600171</v>
      </c>
      <c r="B89" s="75">
        <f t="shared" si="57"/>
        <v>5.1375750393366877</v>
      </c>
      <c r="C89" s="75">
        <f t="shared" si="58"/>
        <v>11.370423606627739</v>
      </c>
      <c r="D89" s="75">
        <f t="shared" si="59"/>
        <v>3.0205712902070374</v>
      </c>
      <c r="E89" s="75">
        <f t="shared" si="60"/>
        <v>5.060042882332346</v>
      </c>
      <c r="F89" s="75">
        <f t="shared" si="61"/>
        <v>6.19192232460456</v>
      </c>
      <c r="G89" s="75">
        <f t="shared" si="62"/>
        <v>1.4644236179848453</v>
      </c>
      <c r="K89" s="73">
        <f t="shared" si="10"/>
        <v>257.72763464164728</v>
      </c>
      <c r="L89" s="82">
        <f t="shared" si="63"/>
        <v>1.546914099990701E-3</v>
      </c>
      <c r="M89" s="82">
        <f t="shared" si="64"/>
        <v>3.4236129818612819E-3</v>
      </c>
      <c r="N89" s="82">
        <f t="shared" si="65"/>
        <v>9.0948828641374837E-4</v>
      </c>
      <c r="O89" s="82">
        <f t="shared" si="66"/>
        <v>1.5235693145706532E-3</v>
      </c>
      <c r="P89" s="82">
        <f t="shared" si="67"/>
        <v>1.8643760678218057E-3</v>
      </c>
      <c r="Q89" s="82">
        <f t="shared" si="68"/>
        <v>4.4093517382718967E-4</v>
      </c>
      <c r="R89" s="82"/>
      <c r="S89" s="22">
        <f t="shared" si="48"/>
        <v>257.72763464164728</v>
      </c>
      <c r="T89" s="22">
        <f t="shared" si="56"/>
        <v>-56.210676039339234</v>
      </c>
      <c r="U89" s="22">
        <f t="shared" si="56"/>
        <v>-49.310306710165641</v>
      </c>
      <c r="V89" s="22">
        <f t="shared" si="56"/>
        <v>-60.82405779959943</v>
      </c>
      <c r="W89" s="22">
        <f t="shared" si="56"/>
        <v>-56.342755656515351</v>
      </c>
      <c r="X89" s="22">
        <f t="shared" si="56"/>
        <v>-54.5893296110306</v>
      </c>
      <c r="Y89" s="22">
        <f t="shared" si="56"/>
        <v>-67.112505113981285</v>
      </c>
      <c r="AA89" s="83">
        <f t="shared" si="69"/>
        <v>257727.63464164728</v>
      </c>
      <c r="AB89" s="83">
        <f t="shared" si="70"/>
        <v>-1108470.6731595686</v>
      </c>
      <c r="AC89" s="22">
        <f t="shared" si="71"/>
        <v>154636.58078498836</v>
      </c>
      <c r="AD89" s="83">
        <f t="shared" si="72"/>
        <v>-19907060.097393531</v>
      </c>
      <c r="AE89" s="83">
        <f t="shared" si="49"/>
        <v>154636.58078498836</v>
      </c>
      <c r="AF89" s="22">
        <f t="shared" si="73"/>
        <v>20000</v>
      </c>
      <c r="AG89" s="83"/>
      <c r="AH89" s="83">
        <f t="shared" si="74"/>
        <v>257727.63464164728</v>
      </c>
      <c r="AI89" s="83">
        <f t="shared" si="75"/>
        <v>-444235.33657978429</v>
      </c>
      <c r="AJ89" s="22">
        <f t="shared" si="76"/>
        <v>154636.58078498836</v>
      </c>
      <c r="AK89" s="83">
        <f t="shared" si="77"/>
        <v>-19907060.097393531</v>
      </c>
      <c r="AL89" s="83">
        <f t="shared" si="50"/>
        <v>154636.58078498836</v>
      </c>
      <c r="AM89" s="22">
        <f t="shared" si="78"/>
        <v>20000</v>
      </c>
      <c r="AN89" s="83"/>
      <c r="AO89" s="83">
        <f t="shared" si="79"/>
        <v>257727.63464164728</v>
      </c>
      <c r="AP89" s="83">
        <f t="shared" si="80"/>
        <v>-1208470.6731595686</v>
      </c>
      <c r="AQ89" s="22">
        <f t="shared" si="81"/>
        <v>154636.58078498836</v>
      </c>
      <c r="AR89" s="83">
        <f t="shared" si="82"/>
        <v>-19907060.097393531</v>
      </c>
      <c r="AS89" s="83">
        <f t="shared" si="51"/>
        <v>154636.58078498836</v>
      </c>
      <c r="AT89" s="22">
        <f t="shared" si="83"/>
        <v>20000</v>
      </c>
      <c r="AU89" s="22"/>
      <c r="AV89" s="83">
        <f t="shared" si="84"/>
        <v>257727.63464164728</v>
      </c>
      <c r="AW89" s="83">
        <f t="shared" si="85"/>
        <v>-1118470.6731595686</v>
      </c>
      <c r="AX89" s="22">
        <f t="shared" si="86"/>
        <v>154636.58078498836</v>
      </c>
      <c r="AY89" s="83">
        <f t="shared" si="87"/>
        <v>-19917060.097393531</v>
      </c>
      <c r="AZ89" s="83">
        <f t="shared" si="52"/>
        <v>154636.58078498836</v>
      </c>
      <c r="BA89" s="22">
        <f t="shared" si="88"/>
        <v>10000</v>
      </c>
      <c r="BB89" s="83"/>
      <c r="BC89" s="83">
        <f t="shared" si="89"/>
        <v>257727.63464164728</v>
      </c>
      <c r="BD89" s="83">
        <f t="shared" si="90"/>
        <v>-544235.33657978429</v>
      </c>
      <c r="BE89" s="22">
        <f t="shared" si="91"/>
        <v>154636.58078498836</v>
      </c>
      <c r="BF89" s="83">
        <f t="shared" si="92"/>
        <v>-19907060.097393531</v>
      </c>
      <c r="BG89" s="83">
        <f t="shared" si="53"/>
        <v>154636.58078498836</v>
      </c>
      <c r="BH89" s="22">
        <f t="shared" si="93"/>
        <v>20000</v>
      </c>
      <c r="BJ89" s="83">
        <f t="shared" si="94"/>
        <v>257727.63464164728</v>
      </c>
      <c r="BK89" s="83">
        <f t="shared" si="95"/>
        <v>-2536941.3463191371</v>
      </c>
      <c r="BL89" s="22">
        <f t="shared" si="96"/>
        <v>154636.58078498836</v>
      </c>
      <c r="BM89" s="83">
        <f t="shared" si="97"/>
        <v>-19907060.097393531</v>
      </c>
      <c r="BN89" s="83">
        <f t="shared" si="54"/>
        <v>154636.58078498836</v>
      </c>
      <c r="BO89" s="22">
        <f t="shared" si="98"/>
        <v>20000</v>
      </c>
    </row>
    <row r="90" spans="1:67" x14ac:dyDescent="0.15">
      <c r="A90" s="76">
        <f t="shared" si="55"/>
        <v>49.222352429520207</v>
      </c>
      <c r="B90" s="75">
        <f t="shared" si="57"/>
        <v>4.2504137303991678</v>
      </c>
      <c r="C90" s="75">
        <f t="shared" si="58"/>
        <v>9.1503175972016866</v>
      </c>
      <c r="D90" s="75">
        <f t="shared" si="59"/>
        <v>2.7195839297927358</v>
      </c>
      <c r="E90" s="75">
        <f t="shared" si="60"/>
        <v>4.2066004722461043</v>
      </c>
      <c r="F90" s="75">
        <f t="shared" si="61"/>
        <v>5.5445465601411694</v>
      </c>
      <c r="G90" s="75">
        <f t="shared" si="62"/>
        <v>1.3310233295762808</v>
      </c>
      <c r="K90" s="73">
        <f t="shared" si="10"/>
        <v>309.27316156997676</v>
      </c>
      <c r="L90" s="82">
        <f t="shared" si="63"/>
        <v>8.8874410592624305E-4</v>
      </c>
      <c r="M90" s="82">
        <f t="shared" si="64"/>
        <v>1.9132939397648841E-3</v>
      </c>
      <c r="N90" s="82">
        <f t="shared" si="65"/>
        <v>5.6865386324357549E-4</v>
      </c>
      <c r="O90" s="82">
        <f t="shared" si="66"/>
        <v>8.7958293305818373E-4</v>
      </c>
      <c r="P90" s="82">
        <f t="shared" si="67"/>
        <v>1.1593419812560974E-3</v>
      </c>
      <c r="Q90" s="82">
        <f t="shared" si="68"/>
        <v>2.7831152778159078E-4</v>
      </c>
      <c r="R90" s="82"/>
      <c r="S90" s="22">
        <f t="shared" si="48"/>
        <v>309.27316156997676</v>
      </c>
      <c r="T90" s="22">
        <f t="shared" si="56"/>
        <v>-61.02446532911857</v>
      </c>
      <c r="U90" s="22">
        <f t="shared" si="56"/>
        <v>-54.364366081822538</v>
      </c>
      <c r="V90" s="22">
        <f t="shared" si="56"/>
        <v>-64.903040121136968</v>
      </c>
      <c r="W90" s="22">
        <f t="shared" si="56"/>
        <v>-61.114464120798921</v>
      </c>
      <c r="X90" s="22">
        <f t="shared" si="56"/>
        <v>-58.715768749838062</v>
      </c>
      <c r="Y90" s="22">
        <f t="shared" si="56"/>
        <v>-71.109376092633013</v>
      </c>
      <c r="AA90" s="83">
        <f t="shared" si="69"/>
        <v>309273.16156997677</v>
      </c>
      <c r="AB90" s="83">
        <f t="shared" si="70"/>
        <v>-1692997.769349779</v>
      </c>
      <c r="AC90" s="22">
        <f t="shared" si="71"/>
        <v>185563.89694198605</v>
      </c>
      <c r="AD90" s="83">
        <f t="shared" si="72"/>
        <v>-28674966.540246688</v>
      </c>
      <c r="AE90" s="83">
        <f t="shared" si="49"/>
        <v>185563.89694198605</v>
      </c>
      <c r="AF90" s="22">
        <f t="shared" si="73"/>
        <v>20000</v>
      </c>
      <c r="AG90" s="83"/>
      <c r="AH90" s="83">
        <f t="shared" si="74"/>
        <v>309273.16156997677</v>
      </c>
      <c r="AI90" s="83">
        <f t="shared" si="75"/>
        <v>-736498.8846748895</v>
      </c>
      <c r="AJ90" s="22">
        <f t="shared" si="76"/>
        <v>185563.89694198605</v>
      </c>
      <c r="AK90" s="83">
        <f t="shared" si="77"/>
        <v>-28674966.540246688</v>
      </c>
      <c r="AL90" s="83">
        <f t="shared" si="50"/>
        <v>185563.89694198605</v>
      </c>
      <c r="AM90" s="22">
        <f t="shared" si="78"/>
        <v>20000</v>
      </c>
      <c r="AN90" s="83"/>
      <c r="AO90" s="83">
        <f t="shared" si="79"/>
        <v>309273.16156997677</v>
      </c>
      <c r="AP90" s="83">
        <f t="shared" si="80"/>
        <v>-1792997.769349779</v>
      </c>
      <c r="AQ90" s="22">
        <f t="shared" si="81"/>
        <v>185563.89694198605</v>
      </c>
      <c r="AR90" s="83">
        <f t="shared" si="82"/>
        <v>-28674966.540246688</v>
      </c>
      <c r="AS90" s="83">
        <f t="shared" si="51"/>
        <v>185563.89694198605</v>
      </c>
      <c r="AT90" s="22">
        <f t="shared" si="83"/>
        <v>20000</v>
      </c>
      <c r="AU90" s="22"/>
      <c r="AV90" s="83">
        <f t="shared" si="84"/>
        <v>309273.16156997677</v>
      </c>
      <c r="AW90" s="83">
        <f t="shared" si="85"/>
        <v>-1702997.769349779</v>
      </c>
      <c r="AX90" s="22">
        <f t="shared" si="86"/>
        <v>185563.89694198605</v>
      </c>
      <c r="AY90" s="83">
        <f t="shared" si="87"/>
        <v>-28684966.540246688</v>
      </c>
      <c r="AZ90" s="83">
        <f t="shared" si="52"/>
        <v>185563.89694198605</v>
      </c>
      <c r="BA90" s="22">
        <f t="shared" si="88"/>
        <v>10000</v>
      </c>
      <c r="BB90" s="83"/>
      <c r="BC90" s="83">
        <f t="shared" si="89"/>
        <v>309273.16156997677</v>
      </c>
      <c r="BD90" s="83">
        <f t="shared" si="90"/>
        <v>-836498.8846748895</v>
      </c>
      <c r="BE90" s="22">
        <f t="shared" si="91"/>
        <v>185563.89694198605</v>
      </c>
      <c r="BF90" s="83">
        <f t="shared" si="92"/>
        <v>-28674966.540246688</v>
      </c>
      <c r="BG90" s="83">
        <f t="shared" si="53"/>
        <v>185563.89694198605</v>
      </c>
      <c r="BH90" s="22">
        <f t="shared" si="93"/>
        <v>20000</v>
      </c>
      <c r="BJ90" s="83">
        <f t="shared" si="94"/>
        <v>309273.16156997677</v>
      </c>
      <c r="BK90" s="83">
        <f t="shared" si="95"/>
        <v>-3705995.538699558</v>
      </c>
      <c r="BL90" s="22">
        <f t="shared" si="96"/>
        <v>185563.89694198605</v>
      </c>
      <c r="BM90" s="83">
        <f t="shared" si="97"/>
        <v>-28674966.540246688</v>
      </c>
      <c r="BN90" s="83">
        <f t="shared" si="54"/>
        <v>185563.89694198605</v>
      </c>
      <c r="BO90" s="22">
        <f t="shared" si="98"/>
        <v>20000</v>
      </c>
    </row>
    <row r="91" spans="1:67" x14ac:dyDescent="0.15">
      <c r="A91" s="76">
        <f t="shared" si="55"/>
        <v>59.066822915424247</v>
      </c>
      <c r="B91" s="75">
        <f t="shared" si="57"/>
        <v>3.6229267400399809</v>
      </c>
      <c r="C91" s="75">
        <f t="shared" si="58"/>
        <v>7.6322065174819951</v>
      </c>
      <c r="D91" s="75">
        <f t="shared" si="59"/>
        <v>2.5067170117652564</v>
      </c>
      <c r="E91" s="75">
        <f t="shared" si="60"/>
        <v>3.5972887634772142</v>
      </c>
      <c r="F91" s="75">
        <f t="shared" si="61"/>
        <v>5.0851828758438202</v>
      </c>
      <c r="G91" s="75">
        <f t="shared" si="62"/>
        <v>1.2349115927886374</v>
      </c>
      <c r="K91" s="73">
        <f t="shared" si="10"/>
        <v>371.12779388397212</v>
      </c>
      <c r="L91" s="82">
        <f t="shared" si="63"/>
        <v>5.2606885121567898E-4</v>
      </c>
      <c r="M91" s="82">
        <f t="shared" si="64"/>
        <v>1.1082382844010428E-3</v>
      </c>
      <c r="N91" s="82">
        <f t="shared" si="65"/>
        <v>3.6398907108113246E-4</v>
      </c>
      <c r="O91" s="82">
        <f t="shared" si="66"/>
        <v>5.2234607627551545E-4</v>
      </c>
      <c r="P91" s="82">
        <f t="shared" si="67"/>
        <v>7.3839646939349358E-4</v>
      </c>
      <c r="Q91" s="82">
        <f t="shared" si="68"/>
        <v>1.7931594249241532E-4</v>
      </c>
      <c r="R91" s="82"/>
      <c r="S91" s="22">
        <f t="shared" si="48"/>
        <v>371.12779388397212</v>
      </c>
      <c r="T91" s="22">
        <f t="shared" si="56"/>
        <v>-65.579148244445818</v>
      </c>
      <c r="U91" s="22">
        <f t="shared" si="56"/>
        <v>-59.107337021856083</v>
      </c>
      <c r="V91" s="22">
        <f t="shared" si="56"/>
        <v>-68.778233120448135</v>
      </c>
      <c r="W91" s="22">
        <f t="shared" si="56"/>
        <v>-65.640833265009931</v>
      </c>
      <c r="X91" s="22">
        <f t="shared" si="56"/>
        <v>-62.634207770698936</v>
      </c>
      <c r="Y91" s="22">
        <f t="shared" si="56"/>
        <v>-74.927621935617537</v>
      </c>
      <c r="AA91" s="83">
        <f t="shared" si="69"/>
        <v>371127.7938839721</v>
      </c>
      <c r="AB91" s="83">
        <f t="shared" si="70"/>
        <v>-2534716.7878636816</v>
      </c>
      <c r="AC91" s="22">
        <f t="shared" si="71"/>
        <v>222676.67633038328</v>
      </c>
      <c r="AD91" s="83">
        <f t="shared" si="72"/>
        <v>-41300751.817955226</v>
      </c>
      <c r="AE91" s="83">
        <f t="shared" si="49"/>
        <v>222676.67633038328</v>
      </c>
      <c r="AF91" s="22">
        <f t="shared" si="73"/>
        <v>20000</v>
      </c>
      <c r="AG91" s="83"/>
      <c r="AH91" s="83">
        <f t="shared" si="74"/>
        <v>371127.7938839721</v>
      </c>
      <c r="AI91" s="83">
        <f t="shared" si="75"/>
        <v>-1157358.3939318408</v>
      </c>
      <c r="AJ91" s="22">
        <f t="shared" si="76"/>
        <v>222676.67633038328</v>
      </c>
      <c r="AK91" s="83">
        <f t="shared" si="77"/>
        <v>-41300751.817955226</v>
      </c>
      <c r="AL91" s="83">
        <f t="shared" si="50"/>
        <v>222676.67633038328</v>
      </c>
      <c r="AM91" s="22">
        <f t="shared" si="78"/>
        <v>20000</v>
      </c>
      <c r="AN91" s="83"/>
      <c r="AO91" s="83">
        <f t="shared" si="79"/>
        <v>371127.7938839721</v>
      </c>
      <c r="AP91" s="83">
        <f t="shared" si="80"/>
        <v>-2634716.7878636816</v>
      </c>
      <c r="AQ91" s="22">
        <f t="shared" si="81"/>
        <v>222676.67633038328</v>
      </c>
      <c r="AR91" s="83">
        <f t="shared" si="82"/>
        <v>-41300751.817955226</v>
      </c>
      <c r="AS91" s="83">
        <f t="shared" si="51"/>
        <v>222676.67633038328</v>
      </c>
      <c r="AT91" s="22">
        <f t="shared" si="83"/>
        <v>20000</v>
      </c>
      <c r="AU91" s="22"/>
      <c r="AV91" s="83">
        <f t="shared" si="84"/>
        <v>371127.7938839721</v>
      </c>
      <c r="AW91" s="83">
        <f t="shared" si="85"/>
        <v>-2544716.7878636816</v>
      </c>
      <c r="AX91" s="22">
        <f t="shared" si="86"/>
        <v>222676.67633038328</v>
      </c>
      <c r="AY91" s="83">
        <f t="shared" si="87"/>
        <v>-41310751.817955226</v>
      </c>
      <c r="AZ91" s="83">
        <f t="shared" si="52"/>
        <v>222676.67633038328</v>
      </c>
      <c r="BA91" s="22">
        <f t="shared" si="88"/>
        <v>10000</v>
      </c>
      <c r="BB91" s="83"/>
      <c r="BC91" s="83">
        <f t="shared" si="89"/>
        <v>371127.7938839721</v>
      </c>
      <c r="BD91" s="83">
        <f t="shared" si="90"/>
        <v>-1257358.3939318408</v>
      </c>
      <c r="BE91" s="22">
        <f t="shared" si="91"/>
        <v>222676.67633038328</v>
      </c>
      <c r="BF91" s="83">
        <f t="shared" si="92"/>
        <v>-41300751.817955226</v>
      </c>
      <c r="BG91" s="83">
        <f t="shared" si="53"/>
        <v>222676.67633038328</v>
      </c>
      <c r="BH91" s="22">
        <f t="shared" si="93"/>
        <v>20000</v>
      </c>
      <c r="BJ91" s="83">
        <f t="shared" si="94"/>
        <v>371127.7938839721</v>
      </c>
      <c r="BK91" s="83">
        <f t="shared" si="95"/>
        <v>-5389433.5757273631</v>
      </c>
      <c r="BL91" s="22">
        <f t="shared" si="96"/>
        <v>222676.67633038328</v>
      </c>
      <c r="BM91" s="83">
        <f t="shared" si="97"/>
        <v>-41300751.817955226</v>
      </c>
      <c r="BN91" s="83">
        <f t="shared" si="54"/>
        <v>222676.67633038328</v>
      </c>
      <c r="BO91" s="22">
        <f t="shared" si="98"/>
        <v>20000</v>
      </c>
    </row>
    <row r="92" spans="1:67" x14ac:dyDescent="0.15">
      <c r="A92" s="76">
        <f t="shared" si="55"/>
        <v>70.880187498509088</v>
      </c>
      <c r="B92" s="75">
        <f t="shared" si="57"/>
        <v>3.1701370811214846</v>
      </c>
      <c r="C92" s="75">
        <f t="shared" si="58"/>
        <v>6.5744555535473692</v>
      </c>
      <c r="D92" s="75">
        <f t="shared" si="59"/>
        <v>2.3560310286976751</v>
      </c>
      <c r="E92" s="75">
        <f t="shared" si="60"/>
        <v>3.154681046716207</v>
      </c>
      <c r="F92" s="75">
        <f t="shared" si="61"/>
        <v>4.7606485267704199</v>
      </c>
      <c r="G92" s="75">
        <f t="shared" si="62"/>
        <v>1.1659632365311714</v>
      </c>
      <c r="K92" s="73">
        <f t="shared" si="10"/>
        <v>445.35335266076646</v>
      </c>
      <c r="L92" s="82">
        <f t="shared" si="63"/>
        <v>3.1966757436715251E-4</v>
      </c>
      <c r="M92" s="82">
        <f t="shared" si="64"/>
        <v>6.6294933178209922E-4</v>
      </c>
      <c r="N92" s="82">
        <f t="shared" si="65"/>
        <v>2.3757544383888149E-4</v>
      </c>
      <c r="O92" s="82">
        <f t="shared" si="66"/>
        <v>3.1810903197569153E-4</v>
      </c>
      <c r="P92" s="82">
        <f t="shared" si="67"/>
        <v>4.8005020856350147E-4</v>
      </c>
      <c r="Q92" s="82">
        <f t="shared" si="68"/>
        <v>1.1757240462653384E-4</v>
      </c>
      <c r="R92" s="82"/>
      <c r="S92" s="22">
        <f t="shared" si="48"/>
        <v>445.35335266076646</v>
      </c>
      <c r="T92" s="22">
        <f t="shared" si="56"/>
        <v>-69.906028287241554</v>
      </c>
      <c r="U92" s="22">
        <f t="shared" si="56"/>
        <v>-63.570393255986666</v>
      </c>
      <c r="V92" s="22">
        <f t="shared" si="56"/>
        <v>-72.483969014255138</v>
      </c>
      <c r="W92" s="22">
        <f t="shared" si="56"/>
        <v>-69.948479998455227</v>
      </c>
      <c r="X92" s="22">
        <f t="shared" si="56"/>
        <v>-66.374266745749821</v>
      </c>
      <c r="Y92" s="22">
        <f t="shared" si="56"/>
        <v>-78.593891987774683</v>
      </c>
      <c r="AA92" s="83">
        <f t="shared" si="69"/>
        <v>445353.35266076645</v>
      </c>
      <c r="AB92" s="83">
        <f t="shared" si="70"/>
        <v>-3746792.1745237005</v>
      </c>
      <c r="AC92" s="22">
        <f t="shared" si="71"/>
        <v>267212.0115964599</v>
      </c>
      <c r="AD92" s="83">
        <f t="shared" si="72"/>
        <v>-59481882.617855504</v>
      </c>
      <c r="AE92" s="83">
        <f t="shared" si="49"/>
        <v>267212.0115964599</v>
      </c>
      <c r="AF92" s="22">
        <f t="shared" si="73"/>
        <v>20000</v>
      </c>
      <c r="AG92" s="83"/>
      <c r="AH92" s="83">
        <f t="shared" si="74"/>
        <v>445353.35266076645</v>
      </c>
      <c r="AI92" s="83">
        <f t="shared" si="75"/>
        <v>-1763396.0872618502</v>
      </c>
      <c r="AJ92" s="22">
        <f t="shared" si="76"/>
        <v>267212.0115964599</v>
      </c>
      <c r="AK92" s="83">
        <f t="shared" si="77"/>
        <v>-59481882.617855504</v>
      </c>
      <c r="AL92" s="83">
        <f t="shared" si="50"/>
        <v>267212.0115964599</v>
      </c>
      <c r="AM92" s="22">
        <f t="shared" si="78"/>
        <v>20000</v>
      </c>
      <c r="AN92" s="83"/>
      <c r="AO92" s="83">
        <f t="shared" si="79"/>
        <v>445353.35266076645</v>
      </c>
      <c r="AP92" s="83">
        <f t="shared" si="80"/>
        <v>-3846792.1745237005</v>
      </c>
      <c r="AQ92" s="22">
        <f t="shared" si="81"/>
        <v>267212.0115964599</v>
      </c>
      <c r="AR92" s="83">
        <f t="shared" si="82"/>
        <v>-59481882.617855504</v>
      </c>
      <c r="AS92" s="83">
        <f t="shared" si="51"/>
        <v>267212.0115964599</v>
      </c>
      <c r="AT92" s="22">
        <f t="shared" si="83"/>
        <v>20000</v>
      </c>
      <c r="AU92" s="22"/>
      <c r="AV92" s="83">
        <f t="shared" si="84"/>
        <v>445353.35266076645</v>
      </c>
      <c r="AW92" s="83">
        <f t="shared" si="85"/>
        <v>-3756792.1745237005</v>
      </c>
      <c r="AX92" s="22">
        <f t="shared" si="86"/>
        <v>267212.0115964599</v>
      </c>
      <c r="AY92" s="83">
        <f t="shared" si="87"/>
        <v>-59491882.617855504</v>
      </c>
      <c r="AZ92" s="83">
        <f t="shared" si="52"/>
        <v>267212.0115964599</v>
      </c>
      <c r="BA92" s="22">
        <f t="shared" si="88"/>
        <v>10000</v>
      </c>
      <c r="BB92" s="83"/>
      <c r="BC92" s="83">
        <f t="shared" si="89"/>
        <v>445353.35266076645</v>
      </c>
      <c r="BD92" s="83">
        <f t="shared" si="90"/>
        <v>-1863396.0872618502</v>
      </c>
      <c r="BE92" s="22">
        <f t="shared" si="91"/>
        <v>267212.0115964599</v>
      </c>
      <c r="BF92" s="83">
        <f t="shared" si="92"/>
        <v>-59481882.617855504</v>
      </c>
      <c r="BG92" s="83">
        <f t="shared" si="53"/>
        <v>267212.0115964599</v>
      </c>
      <c r="BH92" s="22">
        <f t="shared" si="93"/>
        <v>20000</v>
      </c>
      <c r="BJ92" s="83">
        <f t="shared" si="94"/>
        <v>445353.35266076645</v>
      </c>
      <c r="BK92" s="83">
        <f t="shared" si="95"/>
        <v>-7813584.349047401</v>
      </c>
      <c r="BL92" s="22">
        <f t="shared" si="96"/>
        <v>267212.0115964599</v>
      </c>
      <c r="BM92" s="83">
        <f t="shared" si="97"/>
        <v>-59481882.617855504</v>
      </c>
      <c r="BN92" s="83">
        <f t="shared" si="54"/>
        <v>267212.0115964599</v>
      </c>
      <c r="BO92" s="22">
        <f t="shared" si="98"/>
        <v>20000</v>
      </c>
    </row>
    <row r="93" spans="1:67" x14ac:dyDescent="0.15">
      <c r="A93" s="76">
        <f t="shared" si="55"/>
        <v>85.056224998210908</v>
      </c>
      <c r="B93" s="75">
        <f t="shared" si="57"/>
        <v>2.8407000583796953</v>
      </c>
      <c r="C93" s="75">
        <f t="shared" si="58"/>
        <v>5.8265406236896125</v>
      </c>
      <c r="D93" s="75">
        <f t="shared" si="59"/>
        <v>2.2495548682234809</v>
      </c>
      <c r="E93" s="75">
        <f t="shared" si="60"/>
        <v>2.8311345297444723</v>
      </c>
      <c r="F93" s="75">
        <f t="shared" si="61"/>
        <v>4.5320752210275721</v>
      </c>
      <c r="G93" s="75">
        <f t="shared" si="62"/>
        <v>1.116781353893469</v>
      </c>
      <c r="K93" s="73">
        <f t="shared" si="10"/>
        <v>534.42402319291978</v>
      </c>
      <c r="L93" s="82">
        <f t="shared" si="63"/>
        <v>1.9892228148923928E-4</v>
      </c>
      <c r="M93" s="82">
        <f t="shared" si="64"/>
        <v>4.0800814244189174E-4</v>
      </c>
      <c r="N93" s="82">
        <f t="shared" si="65"/>
        <v>1.5752686926668401E-4</v>
      </c>
      <c r="O93" s="82">
        <f t="shared" si="66"/>
        <v>1.9825244773676121E-4</v>
      </c>
      <c r="P93" s="82">
        <f t="shared" si="67"/>
        <v>3.1736217281661075E-4</v>
      </c>
      <c r="Q93" s="82">
        <f t="shared" si="68"/>
        <v>7.8203502754825845E-5</v>
      </c>
      <c r="R93" s="82"/>
      <c r="S93" s="22">
        <f t="shared" si="48"/>
        <v>534.42402319291978</v>
      </c>
      <c r="T93" s="22">
        <f t="shared" si="56"/>
        <v>-74.02633136759124</v>
      </c>
      <c r="U93" s="22">
        <f t="shared" si="56"/>
        <v>-67.786623395932935</v>
      </c>
      <c r="V93" s="22">
        <f t="shared" si="56"/>
        <v>-76.052907163964449</v>
      </c>
      <c r="W93" s="22">
        <f t="shared" si="56"/>
        <v>-74.055628838642875</v>
      </c>
      <c r="X93" s="22">
        <f t="shared" si="56"/>
        <v>-69.96889678262707</v>
      </c>
      <c r="Y93" s="22">
        <f t="shared" si="56"/>
        <v>-82.135475886878808</v>
      </c>
      <c r="AA93" s="83">
        <f t="shared" si="69"/>
        <v>534424.02319291979</v>
      </c>
      <c r="AB93" s="83">
        <f t="shared" si="70"/>
        <v>-5492180.7313141301</v>
      </c>
      <c r="AC93" s="22">
        <f t="shared" si="71"/>
        <v>320654.41391575185</v>
      </c>
      <c r="AD93" s="83">
        <f t="shared" si="72"/>
        <v>-85662710.969711944</v>
      </c>
      <c r="AE93" s="83">
        <f t="shared" si="49"/>
        <v>320654.41391575185</v>
      </c>
      <c r="AF93" s="22">
        <f t="shared" si="73"/>
        <v>20000</v>
      </c>
      <c r="AG93" s="83"/>
      <c r="AH93" s="83">
        <f t="shared" si="74"/>
        <v>534424.02319291979</v>
      </c>
      <c r="AI93" s="83">
        <f t="shared" si="75"/>
        <v>-2636090.3656570651</v>
      </c>
      <c r="AJ93" s="22">
        <f t="shared" si="76"/>
        <v>320654.41391575185</v>
      </c>
      <c r="AK93" s="83">
        <f t="shared" si="77"/>
        <v>-85662710.969711944</v>
      </c>
      <c r="AL93" s="83">
        <f t="shared" si="50"/>
        <v>320654.41391575185</v>
      </c>
      <c r="AM93" s="22">
        <f t="shared" si="78"/>
        <v>20000</v>
      </c>
      <c r="AN93" s="83"/>
      <c r="AO93" s="83">
        <f t="shared" si="79"/>
        <v>534424.02319291979</v>
      </c>
      <c r="AP93" s="83">
        <f t="shared" si="80"/>
        <v>-5592180.7313141301</v>
      </c>
      <c r="AQ93" s="22">
        <f t="shared" si="81"/>
        <v>320654.41391575185</v>
      </c>
      <c r="AR93" s="83">
        <f t="shared" si="82"/>
        <v>-85662710.969711944</v>
      </c>
      <c r="AS93" s="83">
        <f t="shared" si="51"/>
        <v>320654.41391575185</v>
      </c>
      <c r="AT93" s="22">
        <f t="shared" si="83"/>
        <v>20000</v>
      </c>
      <c r="AU93" s="22"/>
      <c r="AV93" s="83">
        <f t="shared" si="84"/>
        <v>534424.02319291979</v>
      </c>
      <c r="AW93" s="83">
        <f t="shared" si="85"/>
        <v>-5502180.7313141301</v>
      </c>
      <c r="AX93" s="22">
        <f t="shared" si="86"/>
        <v>320654.41391575185</v>
      </c>
      <c r="AY93" s="83">
        <f t="shared" si="87"/>
        <v>-85672710.969711944</v>
      </c>
      <c r="AZ93" s="83">
        <f t="shared" si="52"/>
        <v>320654.41391575185</v>
      </c>
      <c r="BA93" s="22">
        <f t="shared" si="88"/>
        <v>10000</v>
      </c>
      <c r="BB93" s="83"/>
      <c r="BC93" s="83">
        <f t="shared" si="89"/>
        <v>534424.02319291979</v>
      </c>
      <c r="BD93" s="83">
        <f t="shared" si="90"/>
        <v>-2736090.3656570651</v>
      </c>
      <c r="BE93" s="22">
        <f t="shared" si="91"/>
        <v>320654.41391575185</v>
      </c>
      <c r="BF93" s="83">
        <f t="shared" si="92"/>
        <v>-85662710.969711944</v>
      </c>
      <c r="BG93" s="83">
        <f t="shared" si="53"/>
        <v>320654.41391575185</v>
      </c>
      <c r="BH93" s="22">
        <f t="shared" si="93"/>
        <v>20000</v>
      </c>
      <c r="BJ93" s="83">
        <f t="shared" si="94"/>
        <v>534424.02319291979</v>
      </c>
      <c r="BK93" s="83">
        <f t="shared" si="95"/>
        <v>-11304361.46262826</v>
      </c>
      <c r="BL93" s="22">
        <f t="shared" si="96"/>
        <v>320654.41391575185</v>
      </c>
      <c r="BM93" s="83">
        <f t="shared" si="97"/>
        <v>-85662710.969711944</v>
      </c>
      <c r="BN93" s="83">
        <f t="shared" si="54"/>
        <v>320654.41391575185</v>
      </c>
      <c r="BO93" s="22">
        <f t="shared" si="98"/>
        <v>20000</v>
      </c>
    </row>
    <row r="94" spans="1:67" x14ac:dyDescent="0.15">
      <c r="A94" s="76">
        <f t="shared" si="55"/>
        <v>102.06746999785308</v>
      </c>
      <c r="B94" s="75">
        <f t="shared" si="57"/>
        <v>2.6009279236877791</v>
      </c>
      <c r="C94" s="75">
        <f t="shared" si="58"/>
        <v>5.2937959966811965</v>
      </c>
      <c r="D94" s="75">
        <f t="shared" si="59"/>
        <v>2.1745381487721631</v>
      </c>
      <c r="E94" s="75">
        <f t="shared" si="60"/>
        <v>2.5948687948215445</v>
      </c>
      <c r="F94" s="75">
        <f t="shared" si="61"/>
        <v>4.3715366131086082</v>
      </c>
      <c r="G94" s="75">
        <f t="shared" si="62"/>
        <v>1.0818994858932169</v>
      </c>
      <c r="K94" s="73">
        <f t="shared" si="10"/>
        <v>641.30882783150366</v>
      </c>
      <c r="L94" s="82">
        <f t="shared" si="63"/>
        <v>1.2648058820014771E-4</v>
      </c>
      <c r="M94" s="82">
        <f t="shared" si="64"/>
        <v>2.5743213619025329E-4</v>
      </c>
      <c r="N94" s="82">
        <f t="shared" si="65"/>
        <v>1.057456693111268E-4</v>
      </c>
      <c r="O94" s="82">
        <f t="shared" si="66"/>
        <v>1.2618593867295313E-4</v>
      </c>
      <c r="P94" s="82">
        <f t="shared" si="67"/>
        <v>2.1258356186222075E-4</v>
      </c>
      <c r="Q94" s="82">
        <f t="shared" si="68"/>
        <v>5.2611716804205444E-5</v>
      </c>
      <c r="R94" s="82"/>
      <c r="S94" s="22">
        <f t="shared" si="48"/>
        <v>641.30882783150366</v>
      </c>
      <c r="T94" s="22">
        <f t="shared" si="56"/>
        <v>-77.959522467544076</v>
      </c>
      <c r="U94" s="22">
        <f t="shared" si="56"/>
        <v>-71.786744789741007</v>
      </c>
      <c r="V94" s="22">
        <f t="shared" si="56"/>
        <v>-79.514748192116144</v>
      </c>
      <c r="W94" s="22">
        <f t="shared" si="56"/>
        <v>-77.97978074605011</v>
      </c>
      <c r="X94" s="22">
        <f t="shared" si="56"/>
        <v>-73.449406411356634</v>
      </c>
      <c r="Y94" s="22">
        <f t="shared" si="56"/>
        <v>-85.578350525004254</v>
      </c>
      <c r="AA94" s="83">
        <f t="shared" si="69"/>
        <v>641308.8278315037</v>
      </c>
      <c r="AB94" s="83">
        <f t="shared" si="70"/>
        <v>-8005540.2530923439</v>
      </c>
      <c r="AC94" s="22">
        <f t="shared" si="71"/>
        <v>384785.29669890221</v>
      </c>
      <c r="AD94" s="83">
        <f t="shared" si="72"/>
        <v>-123363103.79638515</v>
      </c>
      <c r="AE94" s="83">
        <f t="shared" si="49"/>
        <v>384785.29669890221</v>
      </c>
      <c r="AF94" s="22">
        <f t="shared" si="73"/>
        <v>20000</v>
      </c>
      <c r="AG94" s="83"/>
      <c r="AH94" s="83">
        <f t="shared" si="74"/>
        <v>641308.8278315037</v>
      </c>
      <c r="AI94" s="83">
        <f t="shared" si="75"/>
        <v>-3892770.126546172</v>
      </c>
      <c r="AJ94" s="22">
        <f t="shared" si="76"/>
        <v>384785.29669890221</v>
      </c>
      <c r="AK94" s="83">
        <f t="shared" si="77"/>
        <v>-123363103.79638515</v>
      </c>
      <c r="AL94" s="83">
        <f t="shared" si="50"/>
        <v>384785.29669890221</v>
      </c>
      <c r="AM94" s="22">
        <f t="shared" si="78"/>
        <v>20000</v>
      </c>
      <c r="AN94" s="83"/>
      <c r="AO94" s="83">
        <f t="shared" si="79"/>
        <v>641308.8278315037</v>
      </c>
      <c r="AP94" s="83">
        <f t="shared" si="80"/>
        <v>-8105540.2530923439</v>
      </c>
      <c r="AQ94" s="22">
        <f t="shared" si="81"/>
        <v>384785.29669890221</v>
      </c>
      <c r="AR94" s="83">
        <f t="shared" si="82"/>
        <v>-123363103.79638515</v>
      </c>
      <c r="AS94" s="83">
        <f t="shared" si="51"/>
        <v>384785.29669890221</v>
      </c>
      <c r="AT94" s="22">
        <f t="shared" si="83"/>
        <v>20000</v>
      </c>
      <c r="AU94" s="22"/>
      <c r="AV94" s="83">
        <f t="shared" si="84"/>
        <v>641308.8278315037</v>
      </c>
      <c r="AW94" s="83">
        <f t="shared" si="85"/>
        <v>-8015540.2530923439</v>
      </c>
      <c r="AX94" s="22">
        <f t="shared" si="86"/>
        <v>384785.29669890221</v>
      </c>
      <c r="AY94" s="83">
        <f t="shared" si="87"/>
        <v>-123373103.79638515</v>
      </c>
      <c r="AZ94" s="83">
        <f t="shared" si="52"/>
        <v>384785.29669890221</v>
      </c>
      <c r="BA94" s="22">
        <f t="shared" si="88"/>
        <v>10000</v>
      </c>
      <c r="BB94" s="83"/>
      <c r="BC94" s="83">
        <f t="shared" si="89"/>
        <v>641308.8278315037</v>
      </c>
      <c r="BD94" s="83">
        <f t="shared" si="90"/>
        <v>-3992770.126546172</v>
      </c>
      <c r="BE94" s="22">
        <f t="shared" si="91"/>
        <v>384785.29669890221</v>
      </c>
      <c r="BF94" s="83">
        <f t="shared" si="92"/>
        <v>-123363103.79638515</v>
      </c>
      <c r="BG94" s="83">
        <f t="shared" si="53"/>
        <v>384785.29669890221</v>
      </c>
      <c r="BH94" s="22">
        <f t="shared" si="93"/>
        <v>20000</v>
      </c>
      <c r="BJ94" s="83">
        <f t="shared" si="94"/>
        <v>641308.8278315037</v>
      </c>
      <c r="BK94" s="83">
        <f t="shared" si="95"/>
        <v>-16331080.506184688</v>
      </c>
      <c r="BL94" s="22">
        <f t="shared" si="96"/>
        <v>384785.29669890221</v>
      </c>
      <c r="BM94" s="83">
        <f t="shared" si="97"/>
        <v>-123363103.79638515</v>
      </c>
      <c r="BN94" s="83">
        <f t="shared" si="54"/>
        <v>384785.29669890221</v>
      </c>
      <c r="BO94" s="22">
        <f t="shared" si="98"/>
        <v>20000</v>
      </c>
    </row>
    <row r="95" spans="1:67" x14ac:dyDescent="0.15">
      <c r="A95" s="76">
        <f t="shared" si="55"/>
        <v>122.48096399742369</v>
      </c>
      <c r="B95" s="75">
        <f t="shared" si="57"/>
        <v>2.42717717076088</v>
      </c>
      <c r="C95" s="75">
        <f t="shared" si="58"/>
        <v>4.9137577076801655</v>
      </c>
      <c r="D95" s="75">
        <f t="shared" si="59"/>
        <v>2.1218487209163688</v>
      </c>
      <c r="E95" s="75">
        <f t="shared" si="60"/>
        <v>2.4232607668044959</v>
      </c>
      <c r="F95" s="75">
        <f t="shared" si="61"/>
        <v>4.2590668285776809</v>
      </c>
      <c r="G95" s="75">
        <f t="shared" si="62"/>
        <v>1.0572850071478421</v>
      </c>
      <c r="K95" s="73">
        <f t="shared" si="10"/>
        <v>769.57059339780437</v>
      </c>
      <c r="L95" s="82">
        <f t="shared" si="63"/>
        <v>8.1966151768990924E-5</v>
      </c>
      <c r="M95" s="82">
        <f t="shared" si="64"/>
        <v>1.6593836448185699E-4</v>
      </c>
      <c r="N95" s="82">
        <f t="shared" si="65"/>
        <v>7.1655162377351044E-5</v>
      </c>
      <c r="O95" s="82">
        <f t="shared" si="66"/>
        <v>8.1833894196307413E-5</v>
      </c>
      <c r="P95" s="82">
        <f t="shared" si="67"/>
        <v>1.4382935134316387E-4</v>
      </c>
      <c r="Q95" s="82">
        <f t="shared" si="68"/>
        <v>3.5704679659537047E-5</v>
      </c>
      <c r="R95" s="82"/>
      <c r="S95" s="22">
        <f t="shared" si="48"/>
        <v>769.57059339780437</v>
      </c>
      <c r="T95" s="22">
        <f t="shared" si="56"/>
        <v>-81.727309082755554</v>
      </c>
      <c r="U95" s="22">
        <f t="shared" si="56"/>
        <v>-75.601063894150613</v>
      </c>
      <c r="V95" s="22">
        <f t="shared" si="56"/>
        <v>-82.89505031015247</v>
      </c>
      <c r="W95" s="22">
        <f t="shared" si="56"/>
        <v>-81.741335634738533</v>
      </c>
      <c r="X95" s="22">
        <f t="shared" si="56"/>
        <v>-76.84304956339831</v>
      </c>
      <c r="Y95" s="22">
        <f t="shared" si="56"/>
        <v>-88.945497180768712</v>
      </c>
      <c r="AA95" s="83">
        <f t="shared" si="69"/>
        <v>769570.59339780442</v>
      </c>
      <c r="AB95" s="83">
        <f t="shared" si="70"/>
        <v>-11624777.964452974</v>
      </c>
      <c r="AC95" s="22">
        <f t="shared" si="71"/>
        <v>461742.35603868263</v>
      </c>
      <c r="AD95" s="83">
        <f t="shared" si="72"/>
        <v>-177651669.46679464</v>
      </c>
      <c r="AE95" s="83">
        <f t="shared" si="49"/>
        <v>461742.35603868263</v>
      </c>
      <c r="AF95" s="22">
        <f t="shared" si="73"/>
        <v>20000</v>
      </c>
      <c r="AG95" s="83"/>
      <c r="AH95" s="83">
        <f t="shared" si="74"/>
        <v>769570.59339780442</v>
      </c>
      <c r="AI95" s="83">
        <f t="shared" si="75"/>
        <v>-5702388.9822264872</v>
      </c>
      <c r="AJ95" s="22">
        <f t="shared" si="76"/>
        <v>461742.35603868263</v>
      </c>
      <c r="AK95" s="83">
        <f t="shared" si="77"/>
        <v>-177651669.46679464</v>
      </c>
      <c r="AL95" s="83">
        <f t="shared" si="50"/>
        <v>461742.35603868263</v>
      </c>
      <c r="AM95" s="22">
        <f t="shared" si="78"/>
        <v>20000</v>
      </c>
      <c r="AN95" s="83"/>
      <c r="AO95" s="83">
        <f t="shared" si="79"/>
        <v>769570.59339780442</v>
      </c>
      <c r="AP95" s="83">
        <f t="shared" si="80"/>
        <v>-11724777.964452974</v>
      </c>
      <c r="AQ95" s="22">
        <f t="shared" si="81"/>
        <v>461742.35603868263</v>
      </c>
      <c r="AR95" s="83">
        <f t="shared" si="82"/>
        <v>-177651669.46679464</v>
      </c>
      <c r="AS95" s="83">
        <f t="shared" si="51"/>
        <v>461742.35603868263</v>
      </c>
      <c r="AT95" s="22">
        <f t="shared" si="83"/>
        <v>20000</v>
      </c>
      <c r="AU95" s="22"/>
      <c r="AV95" s="83">
        <f t="shared" si="84"/>
        <v>769570.59339780442</v>
      </c>
      <c r="AW95" s="83">
        <f t="shared" si="85"/>
        <v>-11634777.964452974</v>
      </c>
      <c r="AX95" s="22">
        <f t="shared" si="86"/>
        <v>461742.35603868263</v>
      </c>
      <c r="AY95" s="83">
        <f t="shared" si="87"/>
        <v>-177661669.46679464</v>
      </c>
      <c r="AZ95" s="83">
        <f t="shared" si="52"/>
        <v>461742.35603868263</v>
      </c>
      <c r="BA95" s="22">
        <f t="shared" si="88"/>
        <v>10000</v>
      </c>
      <c r="BB95" s="83"/>
      <c r="BC95" s="83">
        <f t="shared" si="89"/>
        <v>769570.59339780442</v>
      </c>
      <c r="BD95" s="83">
        <f t="shared" si="90"/>
        <v>-5802388.9822264872</v>
      </c>
      <c r="BE95" s="22">
        <f t="shared" si="91"/>
        <v>461742.35603868263</v>
      </c>
      <c r="BF95" s="83">
        <f t="shared" si="92"/>
        <v>-177651669.46679464</v>
      </c>
      <c r="BG95" s="83">
        <f t="shared" si="53"/>
        <v>461742.35603868263</v>
      </c>
      <c r="BH95" s="22">
        <f t="shared" si="93"/>
        <v>20000</v>
      </c>
      <c r="BJ95" s="83">
        <f t="shared" si="94"/>
        <v>769570.59339780442</v>
      </c>
      <c r="BK95" s="83">
        <f t="shared" si="95"/>
        <v>-23569555.928905949</v>
      </c>
      <c r="BL95" s="22">
        <f t="shared" si="96"/>
        <v>461742.35603868263</v>
      </c>
      <c r="BM95" s="83">
        <f t="shared" si="97"/>
        <v>-177651669.46679464</v>
      </c>
      <c r="BN95" s="83">
        <f t="shared" si="54"/>
        <v>461742.35603868263</v>
      </c>
      <c r="BO95" s="22">
        <f t="shared" si="98"/>
        <v>20000</v>
      </c>
    </row>
    <row r="96" spans="1:67" x14ac:dyDescent="0.15">
      <c r="A96" s="76">
        <f t="shared" si="55"/>
        <v>146.97715679690842</v>
      </c>
      <c r="B96" s="75">
        <f t="shared" si="57"/>
        <v>2.3020984976346974</v>
      </c>
      <c r="C96" s="75">
        <f t="shared" si="58"/>
        <v>4.6432348269631776</v>
      </c>
      <c r="D96" s="75">
        <f t="shared" si="59"/>
        <v>2.0849431566346173</v>
      </c>
      <c r="E96" s="75">
        <f t="shared" si="60"/>
        <v>2.2995235826754739</v>
      </c>
      <c r="F96" s="75">
        <f t="shared" si="61"/>
        <v>4.1804429699774355</v>
      </c>
      <c r="G96" s="75">
        <f t="shared" si="62"/>
        <v>1.0399878443145316</v>
      </c>
      <c r="K96" s="73">
        <f t="shared" si="10"/>
        <v>923.4847120773652</v>
      </c>
      <c r="L96" s="82">
        <f t="shared" si="63"/>
        <v>5.3987656570484284E-5</v>
      </c>
      <c r="M96" s="82">
        <f t="shared" si="64"/>
        <v>1.0889080874330953E-4</v>
      </c>
      <c r="N96" s="82">
        <f t="shared" si="65"/>
        <v>4.8895038689709706E-5</v>
      </c>
      <c r="O96" s="82">
        <f t="shared" si="66"/>
        <v>5.3927270959416993E-5</v>
      </c>
      <c r="P96" s="82">
        <f t="shared" si="67"/>
        <v>9.8037646785107497E-5</v>
      </c>
      <c r="Q96" s="82">
        <f t="shared" si="68"/>
        <v>2.4389272063736289E-5</v>
      </c>
      <c r="R96" s="82"/>
      <c r="S96" s="22">
        <f t="shared" si="48"/>
        <v>923.4847120773652</v>
      </c>
      <c r="T96" s="22">
        <f t="shared" si="56"/>
        <v>-85.35411046876203</v>
      </c>
      <c r="U96" s="22">
        <f t="shared" si="56"/>
        <v>-79.260175532620764</v>
      </c>
      <c r="V96" s="22">
        <f t="shared" si="56"/>
        <v>-86.214704117729639</v>
      </c>
      <c r="W96" s="22">
        <f t="shared" si="56"/>
        <v>-85.363831140780363</v>
      </c>
      <c r="X96" s="22">
        <f t="shared" si="56"/>
        <v>-80.172142434834925</v>
      </c>
      <c r="Y96" s="22">
        <f t="shared" si="56"/>
        <v>-92.256023233922434</v>
      </c>
      <c r="AA96" s="83">
        <f t="shared" si="69"/>
        <v>923484.71207736526</v>
      </c>
      <c r="AB96" s="83">
        <f t="shared" si="70"/>
        <v>-16836480.268812284</v>
      </c>
      <c r="AC96" s="22">
        <f t="shared" si="71"/>
        <v>554090.82724641915</v>
      </c>
      <c r="AD96" s="83">
        <f t="shared" si="72"/>
        <v>-255827204.03218424</v>
      </c>
      <c r="AE96" s="83">
        <f t="shared" si="49"/>
        <v>554090.82724641915</v>
      </c>
      <c r="AF96" s="22">
        <f t="shared" si="73"/>
        <v>20000</v>
      </c>
      <c r="AG96" s="83"/>
      <c r="AH96" s="83">
        <f t="shared" si="74"/>
        <v>923484.71207736526</v>
      </c>
      <c r="AI96" s="83">
        <f t="shared" si="75"/>
        <v>-8308240.1344061419</v>
      </c>
      <c r="AJ96" s="22">
        <f t="shared" si="76"/>
        <v>554090.82724641915</v>
      </c>
      <c r="AK96" s="83">
        <f t="shared" si="77"/>
        <v>-255827204.03218424</v>
      </c>
      <c r="AL96" s="83">
        <f t="shared" si="50"/>
        <v>554090.82724641915</v>
      </c>
      <c r="AM96" s="22">
        <f t="shared" si="78"/>
        <v>20000</v>
      </c>
      <c r="AN96" s="83"/>
      <c r="AO96" s="83">
        <f t="shared" si="79"/>
        <v>923484.71207736526</v>
      </c>
      <c r="AP96" s="83">
        <f t="shared" si="80"/>
        <v>-16936480.268812284</v>
      </c>
      <c r="AQ96" s="22">
        <f t="shared" si="81"/>
        <v>554090.82724641915</v>
      </c>
      <c r="AR96" s="83">
        <f t="shared" si="82"/>
        <v>-255827204.03218424</v>
      </c>
      <c r="AS96" s="83">
        <f t="shared" si="51"/>
        <v>554090.82724641915</v>
      </c>
      <c r="AT96" s="22">
        <f t="shared" si="83"/>
        <v>20000</v>
      </c>
      <c r="AU96" s="22"/>
      <c r="AV96" s="83">
        <f t="shared" si="84"/>
        <v>923484.71207736526</v>
      </c>
      <c r="AW96" s="83">
        <f t="shared" si="85"/>
        <v>-16846480.268812284</v>
      </c>
      <c r="AX96" s="22">
        <f t="shared" si="86"/>
        <v>554090.82724641915</v>
      </c>
      <c r="AY96" s="83">
        <f t="shared" si="87"/>
        <v>-255837204.03218424</v>
      </c>
      <c r="AZ96" s="83">
        <f t="shared" si="52"/>
        <v>554090.82724641915</v>
      </c>
      <c r="BA96" s="22">
        <f t="shared" si="88"/>
        <v>10000</v>
      </c>
      <c r="BB96" s="83"/>
      <c r="BC96" s="83">
        <f t="shared" si="89"/>
        <v>923484.71207736526</v>
      </c>
      <c r="BD96" s="83">
        <f t="shared" si="90"/>
        <v>-8408240.1344061419</v>
      </c>
      <c r="BE96" s="22">
        <f t="shared" si="91"/>
        <v>554090.82724641915</v>
      </c>
      <c r="BF96" s="83">
        <f t="shared" si="92"/>
        <v>-255827204.03218424</v>
      </c>
      <c r="BG96" s="83">
        <f t="shared" si="53"/>
        <v>554090.82724641915</v>
      </c>
      <c r="BH96" s="22">
        <f t="shared" si="93"/>
        <v>20000</v>
      </c>
      <c r="BJ96" s="83">
        <f t="shared" si="94"/>
        <v>923484.71207736526</v>
      </c>
      <c r="BK96" s="83">
        <f t="shared" si="95"/>
        <v>-33992960.537624568</v>
      </c>
      <c r="BL96" s="22">
        <f t="shared" si="96"/>
        <v>554090.82724641915</v>
      </c>
      <c r="BM96" s="83">
        <f t="shared" si="97"/>
        <v>-255827204.03218424</v>
      </c>
      <c r="BN96" s="83">
        <f t="shared" si="54"/>
        <v>554090.82724641915</v>
      </c>
      <c r="BO96" s="22">
        <f t="shared" si="98"/>
        <v>20000</v>
      </c>
    </row>
    <row r="97" spans="1:67" x14ac:dyDescent="0.15">
      <c r="A97" s="76">
        <f t="shared" si="55"/>
        <v>176.37258815629011</v>
      </c>
      <c r="B97" s="75">
        <f t="shared" si="57"/>
        <v>2.2126964706780745</v>
      </c>
      <c r="C97" s="75">
        <f t="shared" si="58"/>
        <v>4.4514065549850619</v>
      </c>
      <c r="D97" s="75">
        <f t="shared" si="59"/>
        <v>2.0591513859056771</v>
      </c>
      <c r="E97" s="75">
        <f t="shared" si="60"/>
        <v>2.2109799271987076</v>
      </c>
      <c r="F97" s="75">
        <f t="shared" si="61"/>
        <v>4.1255753882629422</v>
      </c>
      <c r="G97" s="75">
        <f t="shared" si="62"/>
        <v>1.027872050201978</v>
      </c>
      <c r="K97" s="73">
        <f t="shared" si="10"/>
        <v>1108.1816544928383</v>
      </c>
      <c r="L97" s="82">
        <f t="shared" si="63"/>
        <v>3.6035448042908977E-5</v>
      </c>
      <c r="M97" s="82">
        <f t="shared" si="64"/>
        <v>7.2494547605470695E-5</v>
      </c>
      <c r="N97" s="82">
        <f t="shared" si="65"/>
        <v>3.3534849339976992E-5</v>
      </c>
      <c r="O97" s="82">
        <f t="shared" si="66"/>
        <v>3.6007492824385416E-5</v>
      </c>
      <c r="P97" s="82">
        <f t="shared" si="67"/>
        <v>6.718813878041516E-5</v>
      </c>
      <c r="Q97" s="82">
        <f t="shared" si="68"/>
        <v>1.6739679549658684E-5</v>
      </c>
      <c r="R97" s="82"/>
      <c r="S97" s="22">
        <f t="shared" si="48"/>
        <v>1108.1816544928383</v>
      </c>
      <c r="T97" s="22">
        <f t="shared" si="56"/>
        <v>-88.865401476334796</v>
      </c>
      <c r="U97" s="22">
        <f t="shared" si="56"/>
        <v>-82.79389311931196</v>
      </c>
      <c r="V97" s="22">
        <f t="shared" si="56"/>
        <v>-89.490072808958686</v>
      </c>
      <c r="W97" s="22">
        <f t="shared" si="56"/>
        <v>-88.872142343716575</v>
      </c>
      <c r="X97" s="22">
        <f t="shared" si="56"/>
        <v>-83.454147787995765</v>
      </c>
      <c r="Y97" s="22">
        <f t="shared" si="56"/>
        <v>-95.525057200627003</v>
      </c>
      <c r="AA97" s="83">
        <f t="shared" si="69"/>
        <v>1108181.6544928383</v>
      </c>
      <c r="AB97" s="83">
        <f t="shared" si="70"/>
        <v>-24341331.587089691</v>
      </c>
      <c r="AC97" s="22">
        <f t="shared" si="71"/>
        <v>664908.99269570305</v>
      </c>
      <c r="AD97" s="83">
        <f t="shared" si="72"/>
        <v>-368399973.80634534</v>
      </c>
      <c r="AE97" s="83">
        <f t="shared" si="49"/>
        <v>664908.99269570305</v>
      </c>
      <c r="AF97" s="22">
        <f t="shared" si="73"/>
        <v>20000</v>
      </c>
      <c r="AG97" s="83"/>
      <c r="AH97" s="83">
        <f t="shared" si="74"/>
        <v>1108181.6544928383</v>
      </c>
      <c r="AI97" s="83">
        <f t="shared" si="75"/>
        <v>-12060665.793544846</v>
      </c>
      <c r="AJ97" s="22">
        <f t="shared" si="76"/>
        <v>664908.99269570305</v>
      </c>
      <c r="AK97" s="83">
        <f t="shared" si="77"/>
        <v>-368399973.80634534</v>
      </c>
      <c r="AL97" s="83">
        <f t="shared" si="50"/>
        <v>664908.99269570305</v>
      </c>
      <c r="AM97" s="22">
        <f t="shared" si="78"/>
        <v>20000</v>
      </c>
      <c r="AN97" s="83"/>
      <c r="AO97" s="83">
        <f t="shared" si="79"/>
        <v>1108181.6544928383</v>
      </c>
      <c r="AP97" s="83">
        <f t="shared" si="80"/>
        <v>-24441331.587089691</v>
      </c>
      <c r="AQ97" s="22">
        <f t="shared" si="81"/>
        <v>664908.99269570305</v>
      </c>
      <c r="AR97" s="83">
        <f t="shared" si="82"/>
        <v>-368399973.80634534</v>
      </c>
      <c r="AS97" s="83">
        <f t="shared" si="51"/>
        <v>664908.99269570305</v>
      </c>
      <c r="AT97" s="22">
        <f t="shared" si="83"/>
        <v>20000</v>
      </c>
      <c r="AU97" s="22"/>
      <c r="AV97" s="83">
        <f t="shared" si="84"/>
        <v>1108181.6544928383</v>
      </c>
      <c r="AW97" s="83">
        <f t="shared" si="85"/>
        <v>-24351331.587089691</v>
      </c>
      <c r="AX97" s="22">
        <f t="shared" si="86"/>
        <v>664908.99269570305</v>
      </c>
      <c r="AY97" s="83">
        <f t="shared" si="87"/>
        <v>-368409973.80634534</v>
      </c>
      <c r="AZ97" s="83">
        <f t="shared" si="52"/>
        <v>664908.99269570305</v>
      </c>
      <c r="BA97" s="22">
        <f t="shared" si="88"/>
        <v>10000</v>
      </c>
      <c r="BB97" s="83"/>
      <c r="BC97" s="83">
        <f t="shared" si="89"/>
        <v>1108181.6544928383</v>
      </c>
      <c r="BD97" s="83">
        <f t="shared" si="90"/>
        <v>-12160665.793544846</v>
      </c>
      <c r="BE97" s="22">
        <f t="shared" si="91"/>
        <v>664908.99269570305</v>
      </c>
      <c r="BF97" s="83">
        <f t="shared" si="92"/>
        <v>-368399973.80634534</v>
      </c>
      <c r="BG97" s="83">
        <f t="shared" si="53"/>
        <v>664908.99269570305</v>
      </c>
      <c r="BH97" s="22">
        <f t="shared" si="93"/>
        <v>20000</v>
      </c>
      <c r="BJ97" s="83">
        <f t="shared" si="94"/>
        <v>1108181.6544928383</v>
      </c>
      <c r="BK97" s="83">
        <f t="shared" si="95"/>
        <v>-49002663.174179383</v>
      </c>
      <c r="BL97" s="22">
        <f t="shared" si="96"/>
        <v>664908.99269570305</v>
      </c>
      <c r="BM97" s="83">
        <f t="shared" si="97"/>
        <v>-368399973.80634534</v>
      </c>
      <c r="BN97" s="83">
        <f t="shared" si="54"/>
        <v>664908.99269570305</v>
      </c>
      <c r="BO97" s="22">
        <f t="shared" si="98"/>
        <v>20000</v>
      </c>
    </row>
    <row r="98" spans="1:67" x14ac:dyDescent="0.15">
      <c r="A98" s="76">
        <f t="shared" si="55"/>
        <v>211.64710578754813</v>
      </c>
      <c r="B98" s="75">
        <f t="shared" si="57"/>
        <v>2.1492147661522969</v>
      </c>
      <c r="C98" s="75">
        <f t="shared" si="58"/>
        <v>4.315955379390636</v>
      </c>
      <c r="D98" s="75">
        <f t="shared" si="59"/>
        <v>2.0411580492216785</v>
      </c>
      <c r="E98" s="75">
        <f t="shared" si="60"/>
        <v>2.1480579257012211</v>
      </c>
      <c r="F98" s="75">
        <f t="shared" si="61"/>
        <v>4.087337626713933</v>
      </c>
      <c r="G98" s="75">
        <f t="shared" si="62"/>
        <v>1.0194062018096675</v>
      </c>
      <c r="K98" s="73">
        <f t="shared" si="10"/>
        <v>1329.817985391406</v>
      </c>
      <c r="L98" s="82">
        <f t="shared" si="63"/>
        <v>2.4306666745331432E-5</v>
      </c>
      <c r="M98" s="82">
        <f t="shared" si="64"/>
        <v>4.881154305596969E-5</v>
      </c>
      <c r="N98" s="82">
        <f t="shared" si="65"/>
        <v>2.3084593153900953E-5</v>
      </c>
      <c r="O98" s="82">
        <f t="shared" si="66"/>
        <v>2.4293583392394969E-5</v>
      </c>
      <c r="P98" s="82">
        <f t="shared" si="67"/>
        <v>4.6225977567636614E-5</v>
      </c>
      <c r="Q98" s="82">
        <f t="shared" si="68"/>
        <v>1.1529032470715786E-5</v>
      </c>
      <c r="R98" s="82"/>
      <c r="S98" s="22">
        <f t="shared" si="48"/>
        <v>1329.817985391406</v>
      </c>
      <c r="T98" s="22">
        <f t="shared" si="56"/>
        <v>-92.285491866623929</v>
      </c>
      <c r="U98" s="22">
        <f t="shared" si="56"/>
        <v>-86.22954925965368</v>
      </c>
      <c r="V98" s="22">
        <f t="shared" si="56"/>
        <v>-92.733555502241899</v>
      </c>
      <c r="W98" s="22">
        <f t="shared" si="56"/>
        <v>-92.290168408910233</v>
      </c>
      <c r="X98" s="22">
        <f t="shared" si="56"/>
        <v>-86.70227791587287</v>
      </c>
      <c r="Y98" s="22">
        <f t="shared" si="56"/>
        <v>-98.764142753083007</v>
      </c>
      <c r="AA98" s="83">
        <f t="shared" si="69"/>
        <v>1329817.9853914059</v>
      </c>
      <c r="AB98" s="83">
        <f t="shared" si="70"/>
        <v>-35148317.485409148</v>
      </c>
      <c r="AC98" s="22">
        <f t="shared" si="71"/>
        <v>797890.79123484355</v>
      </c>
      <c r="AD98" s="83">
        <f t="shared" si="72"/>
        <v>-530504762.28113729</v>
      </c>
      <c r="AE98" s="83">
        <f t="shared" si="49"/>
        <v>797890.79123484355</v>
      </c>
      <c r="AF98" s="22">
        <f t="shared" si="73"/>
        <v>20000</v>
      </c>
      <c r="AG98" s="83"/>
      <c r="AH98" s="83">
        <f t="shared" si="74"/>
        <v>1329817.9853914059</v>
      </c>
      <c r="AI98" s="83">
        <f t="shared" si="75"/>
        <v>-17464158.742704574</v>
      </c>
      <c r="AJ98" s="22">
        <f t="shared" si="76"/>
        <v>797890.79123484355</v>
      </c>
      <c r="AK98" s="83">
        <f t="shared" si="77"/>
        <v>-530504762.28113729</v>
      </c>
      <c r="AL98" s="83">
        <f t="shared" si="50"/>
        <v>797890.79123484355</v>
      </c>
      <c r="AM98" s="22">
        <f t="shared" si="78"/>
        <v>20000</v>
      </c>
      <c r="AN98" s="83"/>
      <c r="AO98" s="83">
        <f t="shared" si="79"/>
        <v>1329817.9853914059</v>
      </c>
      <c r="AP98" s="83">
        <f t="shared" si="80"/>
        <v>-35248317.485409148</v>
      </c>
      <c r="AQ98" s="22">
        <f t="shared" si="81"/>
        <v>797890.79123484355</v>
      </c>
      <c r="AR98" s="83">
        <f t="shared" si="82"/>
        <v>-530504762.28113729</v>
      </c>
      <c r="AS98" s="83">
        <f t="shared" si="51"/>
        <v>797890.79123484355</v>
      </c>
      <c r="AT98" s="22">
        <f t="shared" si="83"/>
        <v>20000</v>
      </c>
      <c r="AU98" s="22"/>
      <c r="AV98" s="83">
        <f t="shared" si="84"/>
        <v>1329817.9853914059</v>
      </c>
      <c r="AW98" s="83">
        <f t="shared" si="85"/>
        <v>-35158317.485409148</v>
      </c>
      <c r="AX98" s="22">
        <f t="shared" si="86"/>
        <v>797890.79123484355</v>
      </c>
      <c r="AY98" s="83">
        <f t="shared" si="87"/>
        <v>-530514762.28113729</v>
      </c>
      <c r="AZ98" s="83">
        <f t="shared" si="52"/>
        <v>797890.79123484355</v>
      </c>
      <c r="BA98" s="22">
        <f t="shared" si="88"/>
        <v>10000</v>
      </c>
      <c r="BB98" s="83"/>
      <c r="BC98" s="83">
        <f t="shared" si="89"/>
        <v>1329817.9853914059</v>
      </c>
      <c r="BD98" s="83">
        <f t="shared" si="90"/>
        <v>-17564158.742704574</v>
      </c>
      <c r="BE98" s="22">
        <f t="shared" si="91"/>
        <v>797890.79123484355</v>
      </c>
      <c r="BF98" s="83">
        <f t="shared" si="92"/>
        <v>-530504762.28113729</v>
      </c>
      <c r="BG98" s="83">
        <f t="shared" si="53"/>
        <v>797890.79123484355</v>
      </c>
      <c r="BH98" s="22">
        <f t="shared" si="93"/>
        <v>20000</v>
      </c>
      <c r="BJ98" s="83">
        <f t="shared" si="94"/>
        <v>1329817.9853914059</v>
      </c>
      <c r="BK98" s="83">
        <f t="shared" si="95"/>
        <v>-70616634.970818296</v>
      </c>
      <c r="BL98" s="22">
        <f t="shared" si="96"/>
        <v>797890.79123484355</v>
      </c>
      <c r="BM98" s="83">
        <f t="shared" si="97"/>
        <v>-530504762.28113729</v>
      </c>
      <c r="BN98" s="83">
        <f t="shared" si="54"/>
        <v>797890.79123484355</v>
      </c>
      <c r="BO98" s="22">
        <f t="shared" si="98"/>
        <v>20000</v>
      </c>
    </row>
    <row r="99" spans="1:67" x14ac:dyDescent="0.15">
      <c r="A99" s="76">
        <f t="shared" si="55"/>
        <v>253.97652694505774</v>
      </c>
      <c r="B99" s="75">
        <f t="shared" si="57"/>
        <v>2.1043890148566007</v>
      </c>
      <c r="C99" s="75">
        <f t="shared" si="58"/>
        <v>4.2206848470901024</v>
      </c>
      <c r="D99" s="75">
        <f t="shared" si="59"/>
        <v>2.0286216028087614</v>
      </c>
      <c r="E99" s="75">
        <f t="shared" si="60"/>
        <v>2.1036028822491417</v>
      </c>
      <c r="F99" s="75">
        <f t="shared" si="61"/>
        <v>4.0607161930053426</v>
      </c>
      <c r="G99" s="75">
        <f t="shared" si="62"/>
        <v>1.0135013081174826</v>
      </c>
      <c r="K99" s="73">
        <f t="shared" si="10"/>
        <v>1595.781582469687</v>
      </c>
      <c r="L99" s="82">
        <f t="shared" si="63"/>
        <v>1.6527574555051562E-5</v>
      </c>
      <c r="M99" s="82">
        <f t="shared" si="64"/>
        <v>3.3148663574644047E-5</v>
      </c>
      <c r="N99" s="82">
        <f t="shared" si="65"/>
        <v>1.593250798578927E-5</v>
      </c>
      <c r="O99" s="82">
        <f t="shared" si="66"/>
        <v>1.6521400380415501E-5</v>
      </c>
      <c r="P99" s="82">
        <f t="shared" si="67"/>
        <v>3.1892292324750742E-5</v>
      </c>
      <c r="Q99" s="82">
        <f t="shared" si="68"/>
        <v>7.9598963467766546E-6</v>
      </c>
      <c r="R99" s="82"/>
      <c r="S99" s="22">
        <f t="shared" si="48"/>
        <v>1595.781582469687</v>
      </c>
      <c r="T99" s="22">
        <f t="shared" si="56"/>
        <v>-95.635817501643444</v>
      </c>
      <c r="U99" s="22">
        <f t="shared" si="56"/>
        <v>-89.590679519456984</v>
      </c>
      <c r="V99" s="22">
        <f t="shared" si="56"/>
        <v>-95.954317103366009</v>
      </c>
      <c r="W99" s="22">
        <f t="shared" si="56"/>
        <v>-95.639062879161116</v>
      </c>
      <c r="X99" s="22">
        <f t="shared" si="56"/>
        <v>-89.926285276344501</v>
      </c>
      <c r="Y99" s="22">
        <f t="shared" si="56"/>
        <v>-101.9818517515683</v>
      </c>
      <c r="AA99" s="83">
        <f t="shared" si="69"/>
        <v>1595781.5824696871</v>
      </c>
      <c r="AB99" s="83">
        <f t="shared" si="70"/>
        <v>-50710377.178989172</v>
      </c>
      <c r="AC99" s="22">
        <f t="shared" si="71"/>
        <v>957468.94948181219</v>
      </c>
      <c r="AD99" s="83">
        <f t="shared" si="72"/>
        <v>-763935657.68483758</v>
      </c>
      <c r="AE99" s="83">
        <f t="shared" si="49"/>
        <v>957468.94948181219</v>
      </c>
      <c r="AF99" s="22">
        <f t="shared" si="73"/>
        <v>20000</v>
      </c>
      <c r="AG99" s="83"/>
      <c r="AH99" s="83">
        <f t="shared" si="74"/>
        <v>1595781.5824696871</v>
      </c>
      <c r="AI99" s="83">
        <f t="shared" si="75"/>
        <v>-25245188.589494586</v>
      </c>
      <c r="AJ99" s="22">
        <f t="shared" si="76"/>
        <v>957468.94948181219</v>
      </c>
      <c r="AK99" s="83">
        <f t="shared" si="77"/>
        <v>-763935657.68483758</v>
      </c>
      <c r="AL99" s="83">
        <f t="shared" si="50"/>
        <v>957468.94948181219</v>
      </c>
      <c r="AM99" s="22">
        <f t="shared" si="78"/>
        <v>20000</v>
      </c>
      <c r="AN99" s="83"/>
      <c r="AO99" s="83">
        <f t="shared" si="79"/>
        <v>1595781.5824696871</v>
      </c>
      <c r="AP99" s="83">
        <f t="shared" si="80"/>
        <v>-50810377.178989172</v>
      </c>
      <c r="AQ99" s="22">
        <f t="shared" si="81"/>
        <v>957468.94948181219</v>
      </c>
      <c r="AR99" s="83">
        <f t="shared" si="82"/>
        <v>-763935657.68483758</v>
      </c>
      <c r="AS99" s="83">
        <f t="shared" si="51"/>
        <v>957468.94948181219</v>
      </c>
      <c r="AT99" s="22">
        <f t="shared" si="83"/>
        <v>20000</v>
      </c>
      <c r="AU99" s="22"/>
      <c r="AV99" s="83">
        <f t="shared" si="84"/>
        <v>1595781.5824696871</v>
      </c>
      <c r="AW99" s="83">
        <f t="shared" si="85"/>
        <v>-50720377.178989172</v>
      </c>
      <c r="AX99" s="22">
        <f t="shared" si="86"/>
        <v>957468.94948181219</v>
      </c>
      <c r="AY99" s="83">
        <f t="shared" si="87"/>
        <v>-763945657.68483758</v>
      </c>
      <c r="AZ99" s="83">
        <f t="shared" si="52"/>
        <v>957468.94948181219</v>
      </c>
      <c r="BA99" s="22">
        <f t="shared" si="88"/>
        <v>10000</v>
      </c>
      <c r="BB99" s="83"/>
      <c r="BC99" s="83">
        <f t="shared" si="89"/>
        <v>1595781.5824696871</v>
      </c>
      <c r="BD99" s="83">
        <f t="shared" si="90"/>
        <v>-25345188.589494586</v>
      </c>
      <c r="BE99" s="22">
        <f t="shared" si="91"/>
        <v>957468.94948181219</v>
      </c>
      <c r="BF99" s="83">
        <f t="shared" si="92"/>
        <v>-763935657.68483758</v>
      </c>
      <c r="BG99" s="83">
        <f t="shared" si="53"/>
        <v>957468.94948181219</v>
      </c>
      <c r="BH99" s="22">
        <f t="shared" si="93"/>
        <v>20000</v>
      </c>
      <c r="BJ99" s="83">
        <f t="shared" si="94"/>
        <v>1595781.5824696871</v>
      </c>
      <c r="BK99" s="83">
        <f t="shared" si="95"/>
        <v>-101740754.35797834</v>
      </c>
      <c r="BL99" s="22">
        <f t="shared" si="96"/>
        <v>957468.94948181219</v>
      </c>
      <c r="BM99" s="83">
        <f t="shared" si="97"/>
        <v>-763935657.68483758</v>
      </c>
      <c r="BN99" s="83">
        <f t="shared" si="54"/>
        <v>957468.94948181219</v>
      </c>
      <c r="BO99" s="22">
        <f t="shared" si="98"/>
        <v>20000</v>
      </c>
    </row>
    <row r="100" spans="1:67" x14ac:dyDescent="0.15">
      <c r="A100" s="76">
        <f t="shared" si="55"/>
        <v>304.7718323340693</v>
      </c>
      <c r="B100" s="75">
        <f t="shared" si="57"/>
        <v>2.0728770231059266</v>
      </c>
      <c r="C100" s="75">
        <f t="shared" si="58"/>
        <v>4.1538940024796851</v>
      </c>
      <c r="D100" s="75">
        <f t="shared" si="59"/>
        <v>2.0198954638146858</v>
      </c>
      <c r="E100" s="75">
        <f t="shared" si="60"/>
        <v>2.0723394971123295</v>
      </c>
      <c r="F100" s="75">
        <f t="shared" si="61"/>
        <v>4.042195800428483</v>
      </c>
      <c r="G100" s="75">
        <f t="shared" si="62"/>
        <v>1.0093879852546122</v>
      </c>
      <c r="K100" s="73">
        <f t="shared" si="10"/>
        <v>1914.9378989636245</v>
      </c>
      <c r="L100" s="82">
        <f t="shared" si="63"/>
        <v>1.1305613760946578E-5</v>
      </c>
      <c r="M100" s="82">
        <f t="shared" si="64"/>
        <v>2.265562340286887E-5</v>
      </c>
      <c r="N100" s="82">
        <f t="shared" si="65"/>
        <v>1.1016648694942827E-5</v>
      </c>
      <c r="O100" s="82">
        <f t="shared" si="66"/>
        <v>1.130268205723124E-5</v>
      </c>
      <c r="P100" s="82">
        <f t="shared" si="67"/>
        <v>2.2046413731428307E-5</v>
      </c>
      <c r="Q100" s="82">
        <f t="shared" si="68"/>
        <v>5.5052714507538492E-6</v>
      </c>
      <c r="R100" s="82"/>
      <c r="S100" s="22">
        <f t="shared" si="48"/>
        <v>1914.9378989636245</v>
      </c>
      <c r="T100" s="22">
        <f t="shared" si="56"/>
        <v>-98.934117112623042</v>
      </c>
      <c r="U100" s="22">
        <f t="shared" si="56"/>
        <v>-92.896479661352487</v>
      </c>
      <c r="V100" s="22">
        <f t="shared" si="56"/>
        <v>-99.159009987449082</v>
      </c>
      <c r="W100" s="22">
        <f t="shared" si="56"/>
        <v>-98.93636977733253</v>
      </c>
      <c r="X100" s="22">
        <f t="shared" si="56"/>
        <v>-93.133240934192841</v>
      </c>
      <c r="Y100" s="22">
        <f t="shared" si="56"/>
        <v>-105.18442524444208</v>
      </c>
      <c r="AA100" s="83">
        <f t="shared" si="69"/>
        <v>1914937.8989636246</v>
      </c>
      <c r="AB100" s="83">
        <f t="shared" si="70"/>
        <v>-73119743.137744412</v>
      </c>
      <c r="AC100" s="22">
        <f t="shared" si="71"/>
        <v>1148962.7393781748</v>
      </c>
      <c r="AD100" s="83">
        <f t="shared" si="72"/>
        <v>-1100076147.0661662</v>
      </c>
      <c r="AE100" s="83">
        <f t="shared" si="49"/>
        <v>1148962.7393781748</v>
      </c>
      <c r="AF100" s="22">
        <f t="shared" si="73"/>
        <v>20000</v>
      </c>
      <c r="AG100" s="83"/>
      <c r="AH100" s="83">
        <f t="shared" si="74"/>
        <v>1914937.8989636246</v>
      </c>
      <c r="AI100" s="83">
        <f t="shared" si="75"/>
        <v>-36449871.568872206</v>
      </c>
      <c r="AJ100" s="22">
        <f t="shared" si="76"/>
        <v>1148962.7393781748</v>
      </c>
      <c r="AK100" s="83">
        <f t="shared" si="77"/>
        <v>-1100076147.0661662</v>
      </c>
      <c r="AL100" s="83">
        <f t="shared" si="50"/>
        <v>1148962.7393781748</v>
      </c>
      <c r="AM100" s="22">
        <f t="shared" si="78"/>
        <v>20000</v>
      </c>
      <c r="AN100" s="83"/>
      <c r="AO100" s="83">
        <f t="shared" si="79"/>
        <v>1914937.8989636246</v>
      </c>
      <c r="AP100" s="83">
        <f t="shared" si="80"/>
        <v>-73219743.137744412</v>
      </c>
      <c r="AQ100" s="22">
        <f t="shared" si="81"/>
        <v>1148962.7393781748</v>
      </c>
      <c r="AR100" s="83">
        <f t="shared" si="82"/>
        <v>-1100076147.0661662</v>
      </c>
      <c r="AS100" s="83">
        <f t="shared" si="51"/>
        <v>1148962.7393781748</v>
      </c>
      <c r="AT100" s="22">
        <f t="shared" si="83"/>
        <v>20000</v>
      </c>
      <c r="AU100" s="22"/>
      <c r="AV100" s="83">
        <f t="shared" si="84"/>
        <v>1914937.8989636246</v>
      </c>
      <c r="AW100" s="83">
        <f t="shared" si="85"/>
        <v>-73129743.137744412</v>
      </c>
      <c r="AX100" s="22">
        <f t="shared" si="86"/>
        <v>1148962.7393781748</v>
      </c>
      <c r="AY100" s="83">
        <f t="shared" si="87"/>
        <v>-1100086147.0661662</v>
      </c>
      <c r="AZ100" s="83">
        <f t="shared" si="52"/>
        <v>1148962.7393781748</v>
      </c>
      <c r="BA100" s="22">
        <f t="shared" si="88"/>
        <v>10000</v>
      </c>
      <c r="BB100" s="83"/>
      <c r="BC100" s="83">
        <f t="shared" si="89"/>
        <v>1914937.8989636246</v>
      </c>
      <c r="BD100" s="83">
        <f t="shared" si="90"/>
        <v>-36549871.568872206</v>
      </c>
      <c r="BE100" s="22">
        <f t="shared" si="91"/>
        <v>1148962.7393781748</v>
      </c>
      <c r="BF100" s="83">
        <f t="shared" si="92"/>
        <v>-1100076147.0661662</v>
      </c>
      <c r="BG100" s="83">
        <f t="shared" si="53"/>
        <v>1148962.7393781748</v>
      </c>
      <c r="BH100" s="22">
        <f t="shared" si="93"/>
        <v>20000</v>
      </c>
      <c r="BJ100" s="83">
        <f t="shared" si="94"/>
        <v>1914937.8989636246</v>
      </c>
      <c r="BK100" s="83">
        <f t="shared" si="95"/>
        <v>-146559486.27548882</v>
      </c>
      <c r="BL100" s="22">
        <f t="shared" si="96"/>
        <v>1148962.7393781748</v>
      </c>
      <c r="BM100" s="83">
        <f t="shared" si="97"/>
        <v>-1100076147.0661662</v>
      </c>
      <c r="BN100" s="83">
        <f t="shared" si="54"/>
        <v>1148962.7393781748</v>
      </c>
      <c r="BO100" s="22">
        <f t="shared" si="98"/>
        <v>20000</v>
      </c>
    </row>
    <row r="101" spans="1:67" x14ac:dyDescent="0.15">
      <c r="A101" s="76">
        <f t="shared" si="55"/>
        <v>365.72619880088314</v>
      </c>
      <c r="B101" s="75">
        <f t="shared" si="57"/>
        <v>2.0507996546152034</v>
      </c>
      <c r="C101" s="75">
        <f t="shared" si="58"/>
        <v>4.1071895161114771</v>
      </c>
      <c r="D101" s="75">
        <f t="shared" si="59"/>
        <v>2.0138257084651023</v>
      </c>
      <c r="E101" s="75">
        <f t="shared" si="60"/>
        <v>2.0504304553689714</v>
      </c>
      <c r="F101" s="75">
        <f t="shared" si="61"/>
        <v>4.0293181004485366</v>
      </c>
      <c r="G101" s="75">
        <f t="shared" si="62"/>
        <v>1.0065253014697553</v>
      </c>
      <c r="K101" s="73">
        <f t="shared" si="10"/>
        <v>2297.9254787563495</v>
      </c>
      <c r="L101" s="82">
        <f t="shared" si="63"/>
        <v>7.767501580371169E-6</v>
      </c>
      <c r="M101" s="82">
        <f t="shared" si="64"/>
        <v>1.5556176336135457E-5</v>
      </c>
      <c r="N101" s="82">
        <f t="shared" si="65"/>
        <v>7.6274609944918254E-6</v>
      </c>
      <c r="O101" s="82">
        <f t="shared" si="66"/>
        <v>7.7661032206034918E-6</v>
      </c>
      <c r="P101" s="82">
        <f t="shared" si="67"/>
        <v>1.5261234632363264E-5</v>
      </c>
      <c r="Q101" s="82">
        <f t="shared" si="68"/>
        <v>3.8122626226582023E-6</v>
      </c>
      <c r="R101" s="82"/>
      <c r="S101" s="22">
        <f t="shared" si="48"/>
        <v>2297.9254787563495</v>
      </c>
      <c r="T101" s="22">
        <f t="shared" si="56"/>
        <v>-102.19437299423373</v>
      </c>
      <c r="U101" s="22">
        <f t="shared" si="56"/>
        <v>-96.161942851534832</v>
      </c>
      <c r="V101" s="22">
        <f t="shared" si="56"/>
        <v>-102.3524000917256</v>
      </c>
      <c r="W101" s="22">
        <f t="shared" si="56"/>
        <v>-102.19593682939046</v>
      </c>
      <c r="X101" s="22">
        <f t="shared" si="56"/>
        <v>-96.32820661159009</v>
      </c>
      <c r="Y101" s="22">
        <f t="shared" si="56"/>
        <v>-108.37634377849895</v>
      </c>
      <c r="AA101" s="83">
        <f t="shared" si="69"/>
        <v>2297925.4787563495</v>
      </c>
      <c r="AB101" s="83">
        <f t="shared" si="70"/>
        <v>-105389230.11835197</v>
      </c>
      <c r="AC101" s="22">
        <f t="shared" si="71"/>
        <v>1378755.2872538096</v>
      </c>
      <c r="AD101" s="83">
        <f t="shared" si="72"/>
        <v>-1584118451.7752795</v>
      </c>
      <c r="AE101" s="83">
        <f t="shared" si="49"/>
        <v>1378755.2872538096</v>
      </c>
      <c r="AF101" s="22">
        <f t="shared" si="73"/>
        <v>20000</v>
      </c>
      <c r="AG101" s="83"/>
      <c r="AH101" s="83">
        <f t="shared" si="74"/>
        <v>2297925.4787563495</v>
      </c>
      <c r="AI101" s="83">
        <f t="shared" si="75"/>
        <v>-52584615.059175983</v>
      </c>
      <c r="AJ101" s="22">
        <f t="shared" si="76"/>
        <v>1378755.2872538096</v>
      </c>
      <c r="AK101" s="83">
        <f t="shared" si="77"/>
        <v>-1584118451.7752795</v>
      </c>
      <c r="AL101" s="83">
        <f t="shared" si="50"/>
        <v>1378755.2872538096</v>
      </c>
      <c r="AM101" s="22">
        <f t="shared" si="78"/>
        <v>20000</v>
      </c>
      <c r="AN101" s="83"/>
      <c r="AO101" s="83">
        <f t="shared" si="79"/>
        <v>2297925.4787563495</v>
      </c>
      <c r="AP101" s="83">
        <f t="shared" si="80"/>
        <v>-105489230.11835197</v>
      </c>
      <c r="AQ101" s="22">
        <f t="shared" si="81"/>
        <v>1378755.2872538096</v>
      </c>
      <c r="AR101" s="83">
        <f t="shared" si="82"/>
        <v>-1584118451.7752795</v>
      </c>
      <c r="AS101" s="83">
        <f t="shared" si="51"/>
        <v>1378755.2872538096</v>
      </c>
      <c r="AT101" s="22">
        <f t="shared" si="83"/>
        <v>20000</v>
      </c>
      <c r="AU101" s="22"/>
      <c r="AV101" s="83">
        <f t="shared" si="84"/>
        <v>2297925.4787563495</v>
      </c>
      <c r="AW101" s="83">
        <f t="shared" si="85"/>
        <v>-105399230.11835197</v>
      </c>
      <c r="AX101" s="22">
        <f t="shared" si="86"/>
        <v>1378755.2872538096</v>
      </c>
      <c r="AY101" s="83">
        <f t="shared" si="87"/>
        <v>-1584128451.7752795</v>
      </c>
      <c r="AZ101" s="83">
        <f t="shared" si="52"/>
        <v>1378755.2872538096</v>
      </c>
      <c r="BA101" s="22">
        <f t="shared" si="88"/>
        <v>10000</v>
      </c>
      <c r="BB101" s="83"/>
      <c r="BC101" s="83">
        <f t="shared" si="89"/>
        <v>2297925.4787563495</v>
      </c>
      <c r="BD101" s="83">
        <f t="shared" si="90"/>
        <v>-52684615.059175983</v>
      </c>
      <c r="BE101" s="22">
        <f t="shared" si="91"/>
        <v>1378755.2872538096</v>
      </c>
      <c r="BF101" s="83">
        <f t="shared" si="92"/>
        <v>-1584118451.7752795</v>
      </c>
      <c r="BG101" s="83">
        <f t="shared" si="53"/>
        <v>1378755.2872538096</v>
      </c>
      <c r="BH101" s="22">
        <f t="shared" si="93"/>
        <v>20000</v>
      </c>
      <c r="BJ101" s="83">
        <f t="shared" si="94"/>
        <v>2297925.4787563495</v>
      </c>
      <c r="BK101" s="83">
        <f t="shared" si="95"/>
        <v>-211098460.23670393</v>
      </c>
      <c r="BL101" s="22">
        <f t="shared" si="96"/>
        <v>1378755.2872538096</v>
      </c>
      <c r="BM101" s="83">
        <f t="shared" si="97"/>
        <v>-1584118451.7752795</v>
      </c>
      <c r="BN101" s="83">
        <f t="shared" si="54"/>
        <v>1378755.2872538096</v>
      </c>
      <c r="BO101" s="22">
        <f t="shared" si="98"/>
        <v>20000</v>
      </c>
    </row>
    <row r="102" spans="1:67" x14ac:dyDescent="0.15">
      <c r="A102" s="76">
        <f t="shared" si="55"/>
        <v>438.87143856105973</v>
      </c>
      <c r="B102" s="75">
        <f t="shared" si="57"/>
        <v>2.0353712402313193</v>
      </c>
      <c r="C102" s="75">
        <f t="shared" si="58"/>
        <v>4.0745942381887783</v>
      </c>
      <c r="D102" s="75">
        <f t="shared" si="59"/>
        <v>2.0096057542430508</v>
      </c>
      <c r="E102" s="75">
        <f t="shared" si="60"/>
        <v>2.0351168318957304</v>
      </c>
      <c r="F102" s="75">
        <f t="shared" si="61"/>
        <v>4.0203672944718001</v>
      </c>
      <c r="G102" s="75">
        <f t="shared" si="62"/>
        <v>1.0045343034665664</v>
      </c>
      <c r="K102" s="73">
        <f t="shared" si="10"/>
        <v>2757.5105745076189</v>
      </c>
      <c r="L102" s="82">
        <f t="shared" si="63"/>
        <v>5.3535178642118329E-6</v>
      </c>
      <c r="M102" s="82">
        <f t="shared" si="64"/>
        <v>1.0717166781367679E-5</v>
      </c>
      <c r="N102" s="82">
        <f t="shared" si="65"/>
        <v>5.2857484142010227E-6</v>
      </c>
      <c r="O102" s="82">
        <f t="shared" si="66"/>
        <v>5.3528487088545892E-6</v>
      </c>
      <c r="P102" s="82">
        <f t="shared" si="67"/>
        <v>1.0574536824644178E-5</v>
      </c>
      <c r="Q102" s="82">
        <f t="shared" si="68"/>
        <v>2.6421677935326773E-6</v>
      </c>
      <c r="R102" s="82"/>
      <c r="S102" s="22">
        <f t="shared" si="48"/>
        <v>2757.5105745076189</v>
      </c>
      <c r="T102" s="22">
        <f t="shared" si="56"/>
        <v>-105.42721487568545</v>
      </c>
      <c r="U102" s="22">
        <f t="shared" si="56"/>
        <v>-99.398400214220175</v>
      </c>
      <c r="V102" s="22">
        <f t="shared" si="56"/>
        <v>-105.53787023658886</v>
      </c>
      <c r="W102" s="22">
        <f t="shared" si="56"/>
        <v>-105.42830062397394</v>
      </c>
      <c r="X102" s="22">
        <f t="shared" si="56"/>
        <v>-99.514772921434783</v>
      </c>
      <c r="Y102" s="22">
        <f t="shared" si="56"/>
        <v>-111.56079211072512</v>
      </c>
      <c r="AA102" s="83">
        <f t="shared" si="69"/>
        <v>2757510.5745076188</v>
      </c>
      <c r="AB102" s="83">
        <f t="shared" si="70"/>
        <v>-151857291.37042677</v>
      </c>
      <c r="AC102" s="22">
        <f t="shared" si="71"/>
        <v>1654506.3447045714</v>
      </c>
      <c r="AD102" s="83">
        <f t="shared" si="72"/>
        <v>-2281139370.5564017</v>
      </c>
      <c r="AE102" s="83">
        <f t="shared" si="49"/>
        <v>1654506.3447045714</v>
      </c>
      <c r="AF102" s="22">
        <f t="shared" si="73"/>
        <v>20000</v>
      </c>
      <c r="AG102" s="83"/>
      <c r="AH102" s="83">
        <f t="shared" si="74"/>
        <v>2757510.5745076188</v>
      </c>
      <c r="AI102" s="83">
        <f t="shared" si="75"/>
        <v>-75818645.685213387</v>
      </c>
      <c r="AJ102" s="22">
        <f t="shared" si="76"/>
        <v>1654506.3447045714</v>
      </c>
      <c r="AK102" s="83">
        <f t="shared" si="77"/>
        <v>-2281139370.5564017</v>
      </c>
      <c r="AL102" s="83">
        <f t="shared" si="50"/>
        <v>1654506.3447045714</v>
      </c>
      <c r="AM102" s="22">
        <f t="shared" si="78"/>
        <v>20000</v>
      </c>
      <c r="AN102" s="83"/>
      <c r="AO102" s="83">
        <f t="shared" si="79"/>
        <v>2757510.5745076188</v>
      </c>
      <c r="AP102" s="83">
        <f t="shared" si="80"/>
        <v>-151957291.37042677</v>
      </c>
      <c r="AQ102" s="22">
        <f t="shared" si="81"/>
        <v>1654506.3447045714</v>
      </c>
      <c r="AR102" s="83">
        <f t="shared" si="82"/>
        <v>-2281139370.5564017</v>
      </c>
      <c r="AS102" s="83">
        <f t="shared" si="51"/>
        <v>1654506.3447045714</v>
      </c>
      <c r="AT102" s="22">
        <f t="shared" si="83"/>
        <v>20000</v>
      </c>
      <c r="AU102" s="22"/>
      <c r="AV102" s="83">
        <f t="shared" si="84"/>
        <v>2757510.5745076188</v>
      </c>
      <c r="AW102" s="83">
        <f t="shared" si="85"/>
        <v>-151867291.37042677</v>
      </c>
      <c r="AX102" s="22">
        <f t="shared" si="86"/>
        <v>1654506.3447045714</v>
      </c>
      <c r="AY102" s="83">
        <f t="shared" si="87"/>
        <v>-2281149370.5564017</v>
      </c>
      <c r="AZ102" s="83">
        <f t="shared" si="52"/>
        <v>1654506.3447045714</v>
      </c>
      <c r="BA102" s="22">
        <f t="shared" si="88"/>
        <v>10000</v>
      </c>
      <c r="BB102" s="83"/>
      <c r="BC102" s="83">
        <f t="shared" si="89"/>
        <v>2757510.5745076188</v>
      </c>
      <c r="BD102" s="83">
        <f t="shared" si="90"/>
        <v>-75918645.685213387</v>
      </c>
      <c r="BE102" s="22">
        <f t="shared" si="91"/>
        <v>1654506.3447045714</v>
      </c>
      <c r="BF102" s="83">
        <f t="shared" si="92"/>
        <v>-2281139370.5564017</v>
      </c>
      <c r="BG102" s="83">
        <f t="shared" si="53"/>
        <v>1654506.3447045714</v>
      </c>
      <c r="BH102" s="22">
        <f t="shared" si="93"/>
        <v>20000</v>
      </c>
      <c r="BJ102" s="83">
        <f t="shared" si="94"/>
        <v>2757510.5745076188</v>
      </c>
      <c r="BK102" s="83">
        <f t="shared" si="95"/>
        <v>-304034582.74085355</v>
      </c>
      <c r="BL102" s="22">
        <f t="shared" si="96"/>
        <v>1654506.3447045714</v>
      </c>
      <c r="BM102" s="83">
        <f t="shared" si="97"/>
        <v>-2281139370.5564017</v>
      </c>
      <c r="BN102" s="83">
        <f t="shared" si="54"/>
        <v>1654506.3447045714</v>
      </c>
      <c r="BO102" s="22">
        <f t="shared" si="98"/>
        <v>20000</v>
      </c>
    </row>
    <row r="103" spans="1:67" x14ac:dyDescent="0.15">
      <c r="A103" s="76">
        <f t="shared" si="55"/>
        <v>526.64572627327163</v>
      </c>
      <c r="B103" s="75">
        <f t="shared" si="57"/>
        <v>2.0246091621049493</v>
      </c>
      <c r="C103" s="75">
        <f t="shared" si="58"/>
        <v>4.0518784706986235</v>
      </c>
      <c r="D103" s="75">
        <f t="shared" si="59"/>
        <v>2.006672874887371</v>
      </c>
      <c r="E103" s="75">
        <f t="shared" si="60"/>
        <v>2.0244334483543152</v>
      </c>
      <c r="F103" s="75">
        <f t="shared" si="61"/>
        <v>4.014147588214791</v>
      </c>
      <c r="G103" s="75">
        <f t="shared" si="62"/>
        <v>1.003150198360101</v>
      </c>
      <c r="K103" s="73">
        <f t="shared" si="10"/>
        <v>3309.0126894091427</v>
      </c>
      <c r="L103" s="82">
        <f t="shared" si="63"/>
        <v>3.6980631943804143E-6</v>
      </c>
      <c r="M103" s="82">
        <f t="shared" si="64"/>
        <v>7.4009852968433085E-6</v>
      </c>
      <c r="N103" s="82">
        <f t="shared" si="65"/>
        <v>3.6653015508767365E-6</v>
      </c>
      <c r="O103" s="82">
        <f t="shared" si="66"/>
        <v>3.6977422432723535E-6</v>
      </c>
      <c r="P103" s="82">
        <f t="shared" si="67"/>
        <v>7.3320677050351753E-6</v>
      </c>
      <c r="Q103" s="82">
        <f t="shared" si="68"/>
        <v>1.8323105992141124E-6</v>
      </c>
      <c r="R103" s="82"/>
      <c r="S103" s="22">
        <f t="shared" si="48"/>
        <v>3309.0126894091427</v>
      </c>
      <c r="T103" s="22">
        <f t="shared" si="56"/>
        <v>-108.64051343337897</v>
      </c>
      <c r="U103" s="22">
        <f t="shared" si="56"/>
        <v>-102.61420917160493</v>
      </c>
      <c r="V103" s="22">
        <f t="shared" si="56"/>
        <v>-108.71780578747263</v>
      </c>
      <c r="W103" s="22">
        <f t="shared" si="56"/>
        <v>-108.64126730553775</v>
      </c>
      <c r="X103" s="22">
        <f t="shared" si="56"/>
        <v>-102.69547066746588</v>
      </c>
      <c r="Y103" s="22">
        <f t="shared" si="56"/>
        <v>-114.74001812328433</v>
      </c>
      <c r="AA103" s="83">
        <f t="shared" si="69"/>
        <v>3309012.6894091428</v>
      </c>
      <c r="AB103" s="83">
        <f t="shared" si="70"/>
        <v>-218771299.57341456</v>
      </c>
      <c r="AC103" s="22">
        <f t="shared" si="71"/>
        <v>1985407.6136454856</v>
      </c>
      <c r="AD103" s="83">
        <f t="shared" si="72"/>
        <v>-3284849493.6012182</v>
      </c>
      <c r="AE103" s="83">
        <f t="shared" si="49"/>
        <v>1985407.6136454856</v>
      </c>
      <c r="AF103" s="22">
        <f t="shared" si="73"/>
        <v>20000</v>
      </c>
      <c r="AG103" s="83"/>
      <c r="AH103" s="83">
        <f t="shared" si="74"/>
        <v>3309012.6894091428</v>
      </c>
      <c r="AI103" s="83">
        <f t="shared" si="75"/>
        <v>-109275649.78670728</v>
      </c>
      <c r="AJ103" s="22">
        <f t="shared" si="76"/>
        <v>1985407.6136454856</v>
      </c>
      <c r="AK103" s="83">
        <f t="shared" si="77"/>
        <v>-3284849493.6012182</v>
      </c>
      <c r="AL103" s="83">
        <f t="shared" si="50"/>
        <v>1985407.6136454856</v>
      </c>
      <c r="AM103" s="22">
        <f t="shared" si="78"/>
        <v>20000</v>
      </c>
      <c r="AN103" s="83"/>
      <c r="AO103" s="83">
        <f t="shared" si="79"/>
        <v>3309012.6894091428</v>
      </c>
      <c r="AP103" s="83">
        <f t="shared" si="80"/>
        <v>-218871299.57341456</v>
      </c>
      <c r="AQ103" s="22">
        <f t="shared" si="81"/>
        <v>1985407.6136454856</v>
      </c>
      <c r="AR103" s="83">
        <f t="shared" si="82"/>
        <v>-3284849493.6012182</v>
      </c>
      <c r="AS103" s="83">
        <f t="shared" si="51"/>
        <v>1985407.6136454856</v>
      </c>
      <c r="AT103" s="22">
        <f t="shared" si="83"/>
        <v>20000</v>
      </c>
      <c r="AU103" s="22"/>
      <c r="AV103" s="83">
        <f t="shared" si="84"/>
        <v>3309012.6894091428</v>
      </c>
      <c r="AW103" s="83">
        <f t="shared" si="85"/>
        <v>-218781299.57341456</v>
      </c>
      <c r="AX103" s="22">
        <f t="shared" si="86"/>
        <v>1985407.6136454856</v>
      </c>
      <c r="AY103" s="83">
        <f t="shared" si="87"/>
        <v>-3284859493.6012182</v>
      </c>
      <c r="AZ103" s="83">
        <f t="shared" si="52"/>
        <v>1985407.6136454856</v>
      </c>
      <c r="BA103" s="22">
        <f t="shared" si="88"/>
        <v>10000</v>
      </c>
      <c r="BB103" s="83"/>
      <c r="BC103" s="83">
        <f t="shared" si="89"/>
        <v>3309012.6894091428</v>
      </c>
      <c r="BD103" s="83">
        <f t="shared" si="90"/>
        <v>-109375649.78670728</v>
      </c>
      <c r="BE103" s="22">
        <f t="shared" si="91"/>
        <v>1985407.6136454856</v>
      </c>
      <c r="BF103" s="83">
        <f t="shared" si="92"/>
        <v>-3284849493.6012182</v>
      </c>
      <c r="BG103" s="83">
        <f t="shared" si="53"/>
        <v>1985407.6136454856</v>
      </c>
      <c r="BH103" s="22">
        <f t="shared" si="93"/>
        <v>20000</v>
      </c>
      <c r="BJ103" s="83">
        <f t="shared" si="94"/>
        <v>3309012.6894091428</v>
      </c>
      <c r="BK103" s="83">
        <f t="shared" si="95"/>
        <v>-437862599.14682913</v>
      </c>
      <c r="BL103" s="22">
        <f t="shared" si="96"/>
        <v>1985407.6136454856</v>
      </c>
      <c r="BM103" s="83">
        <f t="shared" si="97"/>
        <v>-3284849493.6012182</v>
      </c>
      <c r="BN103" s="83">
        <f t="shared" si="54"/>
        <v>1985407.6136454856</v>
      </c>
      <c r="BO103" s="22">
        <f t="shared" si="98"/>
        <v>20000</v>
      </c>
    </row>
    <row r="104" spans="1:67" x14ac:dyDescent="0.15">
      <c r="A104" s="76">
        <f t="shared" si="55"/>
        <v>631.97487152792598</v>
      </c>
      <c r="B104" s="75">
        <f t="shared" si="57"/>
        <v>2.0171119926613321</v>
      </c>
      <c r="C104" s="75">
        <f t="shared" si="58"/>
        <v>4.0360642073820534</v>
      </c>
      <c r="D104" s="75">
        <f t="shared" si="59"/>
        <v>2.0046350108996966</v>
      </c>
      <c r="E104" s="75">
        <f t="shared" si="60"/>
        <v>2.0169904328677903</v>
      </c>
      <c r="F104" s="75">
        <f t="shared" si="61"/>
        <v>4.009826471672489</v>
      </c>
      <c r="G104" s="75">
        <f t="shared" si="62"/>
        <v>1.0021883032334131</v>
      </c>
      <c r="K104" s="73">
        <f t="shared" si="10"/>
        <v>3970.8152272909711</v>
      </c>
      <c r="L104" s="82">
        <f t="shared" si="63"/>
        <v>2.558589715398864E-6</v>
      </c>
      <c r="M104" s="82">
        <f t="shared" si="64"/>
        <v>5.119513645879654E-6</v>
      </c>
      <c r="N104" s="82">
        <f t="shared" si="65"/>
        <v>2.5427633868010052E-6</v>
      </c>
      <c r="O104" s="82">
        <f t="shared" si="66"/>
        <v>2.5584355238424735E-6</v>
      </c>
      <c r="P104" s="82">
        <f t="shared" si="67"/>
        <v>5.0862325980319962E-6</v>
      </c>
      <c r="Q104" s="82">
        <f t="shared" si="68"/>
        <v>1.2712178078733824E-6</v>
      </c>
      <c r="R104" s="82"/>
      <c r="S104" s="22">
        <f t="shared" si="48"/>
        <v>3970.8152272909711</v>
      </c>
      <c r="T104" s="22">
        <f t="shared" si="56"/>
        <v>-111.83998700303755</v>
      </c>
      <c r="U104" s="22">
        <f t="shared" si="56"/>
        <v>-105.81542590135604</v>
      </c>
      <c r="V104" s="22">
        <f t="shared" si="56"/>
        <v>-111.89388101188185</v>
      </c>
      <c r="W104" s="22">
        <f t="shared" si="56"/>
        <v>-111.84051046765995</v>
      </c>
      <c r="X104" s="22">
        <f t="shared" si="56"/>
        <v>-105.87207566050866</v>
      </c>
      <c r="Y104" s="22">
        <f t="shared" si="56"/>
        <v>-117.91560063874837</v>
      </c>
      <c r="AA104" s="83">
        <f t="shared" si="69"/>
        <v>3970815.2272909712</v>
      </c>
      <c r="AB104" s="83">
        <f t="shared" si="70"/>
        <v>-315127471.38571692</v>
      </c>
      <c r="AC104" s="22">
        <f t="shared" si="71"/>
        <v>2382489.1363745825</v>
      </c>
      <c r="AD104" s="83">
        <f t="shared" si="72"/>
        <v>-4730192070.7857533</v>
      </c>
      <c r="AE104" s="83">
        <f t="shared" si="49"/>
        <v>2382489.1363745825</v>
      </c>
      <c r="AF104" s="22">
        <f t="shared" si="73"/>
        <v>20000</v>
      </c>
      <c r="AG104" s="83"/>
      <c r="AH104" s="83">
        <f t="shared" si="74"/>
        <v>3970815.2272909712</v>
      </c>
      <c r="AI104" s="83">
        <f t="shared" si="75"/>
        <v>-157453735.69285846</v>
      </c>
      <c r="AJ104" s="22">
        <f t="shared" si="76"/>
        <v>2382489.1363745825</v>
      </c>
      <c r="AK104" s="83">
        <f t="shared" si="77"/>
        <v>-4730192070.7857533</v>
      </c>
      <c r="AL104" s="83">
        <f t="shared" si="50"/>
        <v>2382489.1363745825</v>
      </c>
      <c r="AM104" s="22">
        <f t="shared" si="78"/>
        <v>20000</v>
      </c>
      <c r="AN104" s="83"/>
      <c r="AO104" s="83">
        <f t="shared" si="79"/>
        <v>3970815.2272909712</v>
      </c>
      <c r="AP104" s="83">
        <f t="shared" si="80"/>
        <v>-315227471.38571692</v>
      </c>
      <c r="AQ104" s="22">
        <f t="shared" si="81"/>
        <v>2382489.1363745825</v>
      </c>
      <c r="AR104" s="83">
        <f t="shared" si="82"/>
        <v>-4730192070.7857533</v>
      </c>
      <c r="AS104" s="83">
        <f t="shared" si="51"/>
        <v>2382489.1363745825</v>
      </c>
      <c r="AT104" s="22">
        <f t="shared" si="83"/>
        <v>20000</v>
      </c>
      <c r="AU104" s="22"/>
      <c r="AV104" s="83">
        <f t="shared" si="84"/>
        <v>3970815.2272909712</v>
      </c>
      <c r="AW104" s="83">
        <f t="shared" si="85"/>
        <v>-315137471.38571692</v>
      </c>
      <c r="AX104" s="22">
        <f t="shared" si="86"/>
        <v>2382489.1363745825</v>
      </c>
      <c r="AY104" s="83">
        <f t="shared" si="87"/>
        <v>-4730202070.7857533</v>
      </c>
      <c r="AZ104" s="83">
        <f t="shared" si="52"/>
        <v>2382489.1363745825</v>
      </c>
      <c r="BA104" s="22">
        <f t="shared" si="88"/>
        <v>10000</v>
      </c>
      <c r="BB104" s="83"/>
      <c r="BC104" s="83">
        <f t="shared" si="89"/>
        <v>3970815.2272909712</v>
      </c>
      <c r="BD104" s="83">
        <f t="shared" si="90"/>
        <v>-157553735.69285846</v>
      </c>
      <c r="BE104" s="22">
        <f t="shared" si="91"/>
        <v>2382489.1363745825</v>
      </c>
      <c r="BF104" s="83">
        <f t="shared" si="92"/>
        <v>-4730192070.7857533</v>
      </c>
      <c r="BG104" s="83">
        <f t="shared" si="53"/>
        <v>2382489.1363745825</v>
      </c>
      <c r="BH104" s="22">
        <f t="shared" si="93"/>
        <v>20000</v>
      </c>
      <c r="BJ104" s="83">
        <f t="shared" si="94"/>
        <v>3970815.2272909712</v>
      </c>
      <c r="BK104" s="83">
        <f t="shared" si="95"/>
        <v>-630574942.77143383</v>
      </c>
      <c r="BL104" s="22">
        <f t="shared" si="96"/>
        <v>2382489.1363745825</v>
      </c>
      <c r="BM104" s="83">
        <f t="shared" si="97"/>
        <v>-4730192070.7857533</v>
      </c>
      <c r="BN104" s="83">
        <f t="shared" si="54"/>
        <v>2382489.1363745825</v>
      </c>
      <c r="BO104" s="22">
        <f t="shared" si="98"/>
        <v>20000</v>
      </c>
    </row>
    <row r="105" spans="1:67" x14ac:dyDescent="0.15">
      <c r="A105" s="76">
        <f t="shared" si="55"/>
        <v>758.36984583351114</v>
      </c>
      <c r="B105" s="75">
        <f t="shared" si="57"/>
        <v>2.011894151917875</v>
      </c>
      <c r="C105" s="75">
        <f t="shared" si="58"/>
        <v>4.0250628041756</v>
      </c>
      <c r="D105" s="75">
        <f t="shared" si="59"/>
        <v>2.0032192746435111</v>
      </c>
      <c r="E105" s="75">
        <f t="shared" si="60"/>
        <v>2.0118099594315955</v>
      </c>
      <c r="F105" s="75">
        <f t="shared" si="61"/>
        <v>4.0068247880552903</v>
      </c>
      <c r="G105" s="75">
        <f t="shared" si="62"/>
        <v>1.0015199765117575</v>
      </c>
      <c r="K105" s="73">
        <f t="shared" si="10"/>
        <v>4764.9782727491647</v>
      </c>
      <c r="L105" s="82">
        <f t="shared" si="63"/>
        <v>1.7722022129687092E-6</v>
      </c>
      <c r="M105" s="82">
        <f t="shared" si="64"/>
        <v>3.5455270855567417E-6</v>
      </c>
      <c r="N105" s="82">
        <f t="shared" si="65"/>
        <v>1.7645608384519612E-6</v>
      </c>
      <c r="O105" s="82">
        <f t="shared" si="66"/>
        <v>1.7721280509605551E-6</v>
      </c>
      <c r="P105" s="82">
        <f t="shared" si="67"/>
        <v>3.5294619001702444E-6</v>
      </c>
      <c r="Q105" s="82">
        <f t="shared" si="68"/>
        <v>8.8220144037625143E-7</v>
      </c>
      <c r="R105" s="82"/>
      <c r="S105" s="22">
        <f t="shared" si="48"/>
        <v>4764.9782727491647</v>
      </c>
      <c r="T105" s="22">
        <f t="shared" si="56"/>
        <v>-115.02973450940777</v>
      </c>
      <c r="U105" s="22">
        <f t="shared" si="56"/>
        <v>-109.00638385090014</v>
      </c>
      <c r="V105" s="22">
        <f t="shared" si="56"/>
        <v>-115.06726726919177</v>
      </c>
      <c r="W105" s="22">
        <f t="shared" si="56"/>
        <v>-115.03009799868235</v>
      </c>
      <c r="X105" s="22">
        <f t="shared" si="56"/>
        <v>-109.04583003728766</v>
      </c>
      <c r="Y105" s="22">
        <f t="shared" si="56"/>
        <v>-121.08864474962996</v>
      </c>
      <c r="AA105" s="83">
        <f t="shared" si="69"/>
        <v>4764978.2727491651</v>
      </c>
      <c r="AB105" s="83">
        <f t="shared" si="70"/>
        <v>-453880358.79543233</v>
      </c>
      <c r="AC105" s="22">
        <f t="shared" si="71"/>
        <v>2858986.9636494988</v>
      </c>
      <c r="AD105" s="83">
        <f t="shared" si="72"/>
        <v>-6811485381.9314842</v>
      </c>
      <c r="AE105" s="83">
        <f t="shared" si="49"/>
        <v>2858986.9636494988</v>
      </c>
      <c r="AF105" s="22">
        <f t="shared" si="73"/>
        <v>20000</v>
      </c>
      <c r="AG105" s="83"/>
      <c r="AH105" s="83">
        <f t="shared" si="74"/>
        <v>4764978.2727491651</v>
      </c>
      <c r="AI105" s="83">
        <f t="shared" si="75"/>
        <v>-226830179.39771616</v>
      </c>
      <c r="AJ105" s="22">
        <f t="shared" si="76"/>
        <v>2858986.9636494988</v>
      </c>
      <c r="AK105" s="83">
        <f t="shared" si="77"/>
        <v>-6811485381.9314842</v>
      </c>
      <c r="AL105" s="83">
        <f t="shared" si="50"/>
        <v>2858986.9636494988</v>
      </c>
      <c r="AM105" s="22">
        <f t="shared" si="78"/>
        <v>20000</v>
      </c>
      <c r="AN105" s="83"/>
      <c r="AO105" s="83">
        <f t="shared" si="79"/>
        <v>4764978.2727491651</v>
      </c>
      <c r="AP105" s="83">
        <f t="shared" si="80"/>
        <v>-453980358.79543233</v>
      </c>
      <c r="AQ105" s="22">
        <f t="shared" si="81"/>
        <v>2858986.9636494988</v>
      </c>
      <c r="AR105" s="83">
        <f t="shared" si="82"/>
        <v>-6811485381.9314842</v>
      </c>
      <c r="AS105" s="83">
        <f t="shared" si="51"/>
        <v>2858986.9636494988</v>
      </c>
      <c r="AT105" s="22">
        <f t="shared" si="83"/>
        <v>20000</v>
      </c>
      <c r="AU105" s="22"/>
      <c r="AV105" s="83">
        <f t="shared" si="84"/>
        <v>4764978.2727491651</v>
      </c>
      <c r="AW105" s="83">
        <f t="shared" si="85"/>
        <v>-453890358.79543233</v>
      </c>
      <c r="AX105" s="22">
        <f t="shared" si="86"/>
        <v>2858986.9636494988</v>
      </c>
      <c r="AY105" s="83">
        <f t="shared" si="87"/>
        <v>-6811495381.9314842</v>
      </c>
      <c r="AZ105" s="83">
        <f t="shared" si="52"/>
        <v>2858986.9636494988</v>
      </c>
      <c r="BA105" s="22">
        <f t="shared" si="88"/>
        <v>10000</v>
      </c>
      <c r="BB105" s="83"/>
      <c r="BC105" s="83">
        <f t="shared" si="89"/>
        <v>4764978.2727491651</v>
      </c>
      <c r="BD105" s="83">
        <f t="shared" si="90"/>
        <v>-226930179.39771616</v>
      </c>
      <c r="BE105" s="22">
        <f t="shared" si="91"/>
        <v>2858986.9636494988</v>
      </c>
      <c r="BF105" s="83">
        <f t="shared" si="92"/>
        <v>-6811485381.9314842</v>
      </c>
      <c r="BG105" s="83">
        <f t="shared" si="53"/>
        <v>2858986.9636494988</v>
      </c>
      <c r="BH105" s="22">
        <f t="shared" si="93"/>
        <v>20000</v>
      </c>
      <c r="BJ105" s="83">
        <f t="shared" si="94"/>
        <v>4764978.2727491651</v>
      </c>
      <c r="BK105" s="83">
        <f t="shared" si="95"/>
        <v>-908080717.59086466</v>
      </c>
      <c r="BL105" s="22">
        <f t="shared" si="96"/>
        <v>2858986.9636494988</v>
      </c>
      <c r="BM105" s="83">
        <f t="shared" si="97"/>
        <v>-6811485381.9314842</v>
      </c>
      <c r="BN105" s="83">
        <f t="shared" si="54"/>
        <v>2858986.9636494988</v>
      </c>
      <c r="BO105" s="22">
        <f t="shared" si="98"/>
        <v>20000</v>
      </c>
    </row>
    <row r="106" spans="1:67" x14ac:dyDescent="0.15">
      <c r="A106" s="76"/>
      <c r="B106" s="75"/>
      <c r="C106" s="75"/>
      <c r="D106" s="75"/>
      <c r="E106" s="75"/>
      <c r="F106" s="72"/>
      <c r="K106" s="73"/>
      <c r="L106" s="74"/>
      <c r="M106" s="74"/>
      <c r="N106" s="74"/>
      <c r="O106" s="74"/>
      <c r="T106" s="22"/>
      <c r="U106" s="84"/>
      <c r="V106" s="22"/>
      <c r="W106" s="22"/>
      <c r="X106" s="22"/>
      <c r="Y106" s="22"/>
      <c r="AA106" s="83"/>
      <c r="AB106" s="83"/>
      <c r="AC106" s="22"/>
      <c r="AD106" s="83"/>
      <c r="AE106" s="83"/>
      <c r="AF106" s="22"/>
      <c r="AG106" s="22"/>
    </row>
    <row r="107" spans="1:67" x14ac:dyDescent="0.15">
      <c r="A107" s="76"/>
      <c r="B107" s="75"/>
      <c r="C107" s="75"/>
      <c r="D107" s="75"/>
      <c r="E107" s="75"/>
      <c r="F107" s="72"/>
      <c r="K107" s="73"/>
      <c r="L107" s="74"/>
      <c r="M107" s="74"/>
      <c r="N107" s="74"/>
      <c r="O107" s="74"/>
      <c r="U107" s="77"/>
    </row>
    <row r="108" spans="1:67" x14ac:dyDescent="0.15">
      <c r="A108" s="76"/>
      <c r="B108" s="75"/>
      <c r="C108" s="75"/>
      <c r="D108" s="75"/>
      <c r="E108" s="75"/>
      <c r="F108" s="72"/>
      <c r="K108" s="73"/>
      <c r="L108" s="74"/>
      <c r="M108" s="74"/>
      <c r="N108" s="74"/>
      <c r="O108" s="74"/>
      <c r="U108" s="77"/>
    </row>
    <row r="109" spans="1:67" x14ac:dyDescent="0.15">
      <c r="A109" s="76"/>
      <c r="B109" s="75"/>
      <c r="C109" s="75"/>
      <c r="D109" s="75"/>
      <c r="E109" s="75"/>
      <c r="F109" s="72"/>
      <c r="K109" s="73"/>
      <c r="L109" s="74"/>
      <c r="M109" s="74"/>
      <c r="N109" s="74"/>
      <c r="O109" s="74"/>
      <c r="U109" s="77"/>
    </row>
    <row r="110" spans="1:67" x14ac:dyDescent="0.15">
      <c r="A110" s="76"/>
      <c r="B110" s="75"/>
      <c r="C110" s="75"/>
      <c r="D110" s="75"/>
      <c r="E110" s="75"/>
      <c r="F110" s="72"/>
      <c r="K110" s="73"/>
      <c r="L110" s="74"/>
      <c r="M110" s="74"/>
      <c r="N110" s="74"/>
      <c r="O110" s="74"/>
      <c r="Q110" s="77"/>
      <c r="R110" s="77"/>
    </row>
    <row r="111" spans="1:67" x14ac:dyDescent="0.15">
      <c r="A111" s="11"/>
      <c r="Q111" s="77"/>
      <c r="R111" s="77"/>
    </row>
    <row r="112" spans="1:67" x14ac:dyDescent="0.15">
      <c r="Q112" s="77"/>
      <c r="R112" s="77"/>
    </row>
    <row r="113" spans="1:18" x14ac:dyDescent="0.15">
      <c r="Q113" s="77"/>
      <c r="R113" s="77"/>
    </row>
    <row r="114" spans="1:18" x14ac:dyDescent="0.15">
      <c r="Q114" s="77"/>
      <c r="R114" s="77"/>
    </row>
    <row r="115" spans="1:18" x14ac:dyDescent="0.15">
      <c r="Q115" s="77"/>
      <c r="R115" s="77"/>
    </row>
    <row r="116" spans="1:18" x14ac:dyDescent="0.15">
      <c r="Q116" s="77"/>
      <c r="R116" s="77"/>
    </row>
    <row r="117" spans="1:18" x14ac:dyDescent="0.15">
      <c r="Q117" s="77"/>
      <c r="R117" s="77"/>
    </row>
    <row r="118" spans="1:18" x14ac:dyDescent="0.15">
      <c r="Q118" s="77"/>
      <c r="R118" s="77"/>
    </row>
    <row r="119" spans="1:18" x14ac:dyDescent="0.15">
      <c r="Q119" s="77"/>
      <c r="R119" s="77"/>
    </row>
    <row r="120" spans="1:18" x14ac:dyDescent="0.15">
      <c r="Q120" s="77"/>
      <c r="R120" s="77"/>
    </row>
    <row r="122" spans="1:18" x14ac:dyDescent="0.15">
      <c r="A122" s="3"/>
      <c r="B122" s="3"/>
      <c r="C122" s="3"/>
      <c r="D122" s="3"/>
      <c r="E122" s="3"/>
      <c r="F122" s="3"/>
    </row>
    <row r="123" spans="1:18" x14ac:dyDescent="0.15">
      <c r="A123" s="3"/>
      <c r="B123" s="3"/>
      <c r="C123" s="3"/>
      <c r="D123" s="3"/>
      <c r="E123" s="3"/>
      <c r="F123" s="3"/>
    </row>
    <row r="124" spans="1:18" x14ac:dyDescent="0.15">
      <c r="A124" s="3"/>
      <c r="B124" s="3"/>
      <c r="C124" s="3"/>
      <c r="D124" s="3"/>
      <c r="E124" s="3"/>
      <c r="F124" s="3"/>
    </row>
    <row r="125" spans="1:18" x14ac:dyDescent="0.15">
      <c r="A125" s="3"/>
      <c r="B125" s="3"/>
      <c r="C125" s="3"/>
      <c r="D125" s="3"/>
      <c r="E125" s="3"/>
      <c r="F125" s="3"/>
    </row>
    <row r="126" spans="1:18" x14ac:dyDescent="0.15">
      <c r="A126" s="3"/>
      <c r="B126" s="3"/>
      <c r="C126" s="3"/>
      <c r="D126" s="3"/>
      <c r="E126" s="3"/>
      <c r="F126" s="3"/>
    </row>
    <row r="127" spans="1:18" x14ac:dyDescent="0.15">
      <c r="A127" s="3"/>
      <c r="B127" s="3"/>
      <c r="C127" s="3"/>
      <c r="D127" s="3"/>
      <c r="E127" s="3"/>
      <c r="F127" s="3"/>
    </row>
    <row r="128" spans="1:18" x14ac:dyDescent="0.15">
      <c r="A128" s="3"/>
      <c r="B128" s="3"/>
      <c r="C128" s="3"/>
      <c r="D128" s="3"/>
      <c r="E128" s="3"/>
      <c r="F128" s="3"/>
    </row>
    <row r="129" spans="1:6" x14ac:dyDescent="0.15">
      <c r="A129" s="10"/>
      <c r="B129" s="3"/>
      <c r="C129" s="3"/>
      <c r="D129" s="3"/>
      <c r="E129" s="3"/>
      <c r="F129" s="3"/>
    </row>
    <row r="130" spans="1:6" x14ac:dyDescent="0.15">
      <c r="A130" s="67"/>
      <c r="B130" s="67"/>
      <c r="C130" s="80"/>
      <c r="D130" s="80"/>
      <c r="E130" s="67"/>
      <c r="F130" s="3"/>
    </row>
    <row r="131" spans="1:6" x14ac:dyDescent="0.15">
      <c r="A131" s="67"/>
      <c r="B131" s="67"/>
      <c r="C131" s="67"/>
      <c r="D131" s="67"/>
      <c r="E131" s="67"/>
      <c r="F131" s="3"/>
    </row>
    <row r="132" spans="1:6" x14ac:dyDescent="0.15">
      <c r="A132" s="67"/>
      <c r="B132" s="67"/>
      <c r="C132" s="67"/>
      <c r="D132" s="67"/>
      <c r="E132" s="67"/>
      <c r="F132" s="3"/>
    </row>
    <row r="133" spans="1:6" x14ac:dyDescent="0.15">
      <c r="A133" s="67"/>
      <c r="B133" s="81"/>
      <c r="C133" s="67"/>
      <c r="D133" s="67"/>
      <c r="E133" s="67"/>
      <c r="F133" s="3"/>
    </row>
    <row r="134" spans="1:6" x14ac:dyDescent="0.15">
      <c r="A134" s="67"/>
      <c r="B134" s="81"/>
      <c r="C134" s="67"/>
      <c r="D134" s="67"/>
      <c r="E134" s="67"/>
      <c r="F134" s="3"/>
    </row>
    <row r="135" spans="1:6" x14ac:dyDescent="0.15">
      <c r="A135" s="67"/>
      <c r="B135" s="67"/>
      <c r="C135" s="67"/>
      <c r="D135" s="67"/>
      <c r="E135" s="67"/>
      <c r="F135" s="3"/>
    </row>
    <row r="136" spans="1:6" x14ac:dyDescent="0.15">
      <c r="A136" s="67"/>
      <c r="B136" s="81"/>
      <c r="C136" s="67"/>
      <c r="D136" s="67"/>
      <c r="E136" s="67"/>
      <c r="F136" s="3"/>
    </row>
    <row r="137" spans="1:6" x14ac:dyDescent="0.15">
      <c r="A137" s="67"/>
      <c r="B137" s="67"/>
      <c r="C137" s="67"/>
      <c r="D137" s="67"/>
      <c r="E137" s="67"/>
      <c r="F137" s="3"/>
    </row>
    <row r="138" spans="1:6" x14ac:dyDescent="0.15">
      <c r="A138" s="67"/>
      <c r="B138" s="81"/>
      <c r="C138" s="67"/>
      <c r="D138" s="67"/>
      <c r="E138" s="67"/>
      <c r="F138" s="3"/>
    </row>
    <row r="139" spans="1:6" x14ac:dyDescent="0.15">
      <c r="A139" s="3"/>
      <c r="B139" s="3"/>
      <c r="C139" s="3"/>
      <c r="D139" s="3"/>
      <c r="E139" s="3"/>
      <c r="F139" s="3"/>
    </row>
    <row r="140" spans="1:6" x14ac:dyDescent="0.15">
      <c r="A140" s="3"/>
      <c r="B140" s="3"/>
      <c r="C140" s="3"/>
      <c r="D140" s="3"/>
      <c r="E140" s="3"/>
      <c r="F140" s="3"/>
    </row>
    <row r="141" spans="1:6" x14ac:dyDescent="0.15">
      <c r="A141" s="3"/>
      <c r="B141" s="3"/>
      <c r="C141" s="3"/>
      <c r="D141" s="3"/>
      <c r="E141" s="3"/>
      <c r="F141" s="3"/>
    </row>
    <row r="142" spans="1:6" x14ac:dyDescent="0.15">
      <c r="A142" s="3"/>
      <c r="B142" s="3"/>
      <c r="C142" s="3"/>
      <c r="D142" s="3"/>
      <c r="E142" s="3"/>
      <c r="F142" s="3"/>
    </row>
    <row r="143" spans="1:6" x14ac:dyDescent="0.15">
      <c r="A143" s="3"/>
      <c r="B143" s="3"/>
      <c r="C143" s="3"/>
      <c r="D143" s="3"/>
      <c r="E143" s="3"/>
      <c r="F143" s="3"/>
    </row>
    <row r="144" spans="1:6" x14ac:dyDescent="0.15">
      <c r="A144" s="3"/>
      <c r="B144" s="3"/>
      <c r="C144" s="3"/>
      <c r="D144" s="3"/>
      <c r="E144" s="3"/>
      <c r="F144" s="3"/>
    </row>
    <row r="145" spans="1:6" x14ac:dyDescent="0.15">
      <c r="A145" s="3"/>
      <c r="B145" s="3"/>
      <c r="C145" s="3"/>
      <c r="D145" s="3"/>
      <c r="E145" s="3"/>
      <c r="F145" s="3"/>
    </row>
    <row r="146" spans="1:6" x14ac:dyDescent="0.15">
      <c r="A146" s="3"/>
      <c r="B146" s="3"/>
      <c r="C146" s="3"/>
      <c r="D146" s="3"/>
      <c r="E146" s="3"/>
      <c r="F146" s="3"/>
    </row>
    <row r="147" spans="1:6" x14ac:dyDescent="0.15">
      <c r="A147" s="30"/>
      <c r="B147" s="34"/>
      <c r="C147" s="34"/>
      <c r="D147" s="3"/>
      <c r="E147" s="3"/>
      <c r="F147" s="3"/>
    </row>
    <row r="148" spans="1:6" x14ac:dyDescent="0.15">
      <c r="A148" s="3"/>
      <c r="B148" s="3"/>
      <c r="C148" s="3"/>
      <c r="D148" s="3"/>
      <c r="E148" s="3"/>
      <c r="F148" s="3"/>
    </row>
    <row r="149" spans="1:6" x14ac:dyDescent="0.15">
      <c r="A149" s="3"/>
      <c r="B149" s="3"/>
      <c r="C149" s="3"/>
      <c r="D149" s="3"/>
      <c r="E149" s="3"/>
      <c r="F149" s="3"/>
    </row>
    <row r="150" spans="1:6" x14ac:dyDescent="0.15">
      <c r="A150" s="3"/>
      <c r="B150" s="3"/>
      <c r="C150" s="3"/>
      <c r="D150" s="3"/>
      <c r="E150" s="3"/>
      <c r="F150" s="3"/>
    </row>
    <row r="151" spans="1:6" x14ac:dyDescent="0.15">
      <c r="A151" s="3"/>
      <c r="B151" s="3"/>
      <c r="C151" s="3"/>
      <c r="D151" s="3"/>
      <c r="E151" s="3"/>
      <c r="F151" s="3"/>
    </row>
    <row r="152" spans="1:6" x14ac:dyDescent="0.15">
      <c r="A152" s="3"/>
      <c r="B152" s="3"/>
      <c r="C152" s="3"/>
      <c r="D152" s="3"/>
      <c r="E152" s="3"/>
      <c r="F152" s="3"/>
    </row>
  </sheetData>
  <phoneticPr fontId="2"/>
  <hyperlinks>
    <hyperlink ref="G8" r:id="rId1"/>
    <hyperlink ref="G9" r:id="rId2"/>
    <hyperlink ref="G5" r:id="rId3"/>
    <hyperlink ref="G6" r:id="rId4"/>
    <hyperlink ref="G10" r:id="rId5"/>
  </hyperlinks>
  <pageMargins left="0.75" right="0.75" top="1" bottom="1" header="0.51200000000000001" footer="0.51200000000000001"/>
  <pageSetup paperSize="9" scale="95" orientation="portrait" r:id="rId6"/>
  <headerFooter alignWithMargins="0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0"/>
  <sheetViews>
    <sheetView topLeftCell="A184" workbookViewId="0">
      <selection activeCell="E223" sqref="E223"/>
    </sheetView>
  </sheetViews>
  <sheetFormatPr defaultRowHeight="13.5" x14ac:dyDescent="0.15"/>
  <cols>
    <col min="2" max="2" width="18.25" customWidth="1"/>
    <col min="3" max="3" width="9.5" bestFit="1" customWidth="1"/>
    <col min="4" max="4" width="9.875" bestFit="1" customWidth="1"/>
    <col min="5" max="5" width="11.375" customWidth="1"/>
    <col min="6" max="6" width="10.5" customWidth="1"/>
    <col min="12" max="12" width="10.875" customWidth="1"/>
    <col min="13" max="13" width="10.75" customWidth="1"/>
    <col min="14" max="14" width="12.125" bestFit="1" customWidth="1"/>
    <col min="16" max="16" width="12.125" customWidth="1"/>
  </cols>
  <sheetData>
    <row r="1" spans="1:27" x14ac:dyDescent="0.15">
      <c r="A1" t="s">
        <v>240</v>
      </c>
      <c r="L1" s="26"/>
      <c r="M1" s="26"/>
      <c r="N1" s="27"/>
      <c r="O1" s="26"/>
      <c r="P1" s="27"/>
      <c r="Q1" s="26"/>
      <c r="R1" s="26"/>
      <c r="S1" s="26"/>
      <c r="T1" s="26"/>
      <c r="U1" s="26"/>
      <c r="V1" s="26"/>
      <c r="W1" s="26"/>
      <c r="X1" s="26"/>
      <c r="Z1">
        <f>W1</f>
        <v>0</v>
      </c>
      <c r="AA1">
        <v>3.8000000000000002E-4</v>
      </c>
    </row>
    <row r="2" spans="1:27" x14ac:dyDescent="0.15">
      <c r="A2" s="6">
        <v>38757</v>
      </c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7" x14ac:dyDescent="0.15">
      <c r="A3" s="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7" x14ac:dyDescent="0.15">
      <c r="A4" s="9" t="s">
        <v>123</v>
      </c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7" x14ac:dyDescent="0.15">
      <c r="B5" t="s">
        <v>2</v>
      </c>
      <c r="C5" t="s">
        <v>135</v>
      </c>
      <c r="D5" s="3" t="s">
        <v>7</v>
      </c>
      <c r="E5" s="4">
        <v>0.64</v>
      </c>
      <c r="F5">
        <f>E5*1000</f>
        <v>640</v>
      </c>
      <c r="G5" t="s">
        <v>7</v>
      </c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pans="1:27" x14ac:dyDescent="0.15">
      <c r="B6" s="3" t="s">
        <v>49</v>
      </c>
      <c r="C6" s="3" t="s">
        <v>176</v>
      </c>
      <c r="D6" s="3" t="s">
        <v>50</v>
      </c>
      <c r="E6" s="12">
        <v>17</v>
      </c>
      <c r="F6" s="3"/>
      <c r="G6" s="3"/>
      <c r="H6" s="3"/>
      <c r="L6" s="26"/>
      <c r="M6" s="26"/>
      <c r="N6" s="26"/>
      <c r="O6" s="26"/>
      <c r="P6" s="26"/>
      <c r="Q6" s="26"/>
      <c r="R6" s="26"/>
      <c r="S6" s="26"/>
      <c r="T6" s="26"/>
      <c r="U6" s="26"/>
      <c r="V6" s="35"/>
      <c r="W6" s="26"/>
      <c r="X6" s="26"/>
    </row>
    <row r="7" spans="1:27" x14ac:dyDescent="0.15">
      <c r="B7" s="3" t="s">
        <v>39</v>
      </c>
      <c r="C7" s="3" t="s">
        <v>177</v>
      </c>
      <c r="D7" s="3" t="s">
        <v>50</v>
      </c>
      <c r="E7" s="12">
        <v>7.5</v>
      </c>
      <c r="F7" s="3"/>
      <c r="G7" s="3"/>
      <c r="H7" s="3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</row>
    <row r="8" spans="1:27" s="47" customFormat="1" x14ac:dyDescent="0.15">
      <c r="B8" s="50" t="s">
        <v>153</v>
      </c>
      <c r="C8" s="48" t="s">
        <v>178</v>
      </c>
      <c r="D8" s="48" t="s">
        <v>1</v>
      </c>
      <c r="E8" s="51">
        <v>7</v>
      </c>
      <c r="F8" s="48"/>
      <c r="G8" s="48"/>
      <c r="H8" s="48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</row>
    <row r="9" spans="1:27" x14ac:dyDescent="0.15">
      <c r="B9" s="50" t="s">
        <v>153</v>
      </c>
      <c r="C9" s="3" t="s">
        <v>136</v>
      </c>
      <c r="D9" s="3" t="s">
        <v>7</v>
      </c>
      <c r="E9" s="26">
        <f>E8/1000</f>
        <v>7.0000000000000001E-3</v>
      </c>
      <c r="F9" s="3"/>
      <c r="G9" s="3" t="s">
        <v>52</v>
      </c>
      <c r="H9" s="3" t="s">
        <v>182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</row>
    <row r="10" spans="1:27" x14ac:dyDescent="0.15">
      <c r="B10" t="s">
        <v>9</v>
      </c>
      <c r="C10" s="3" t="s">
        <v>10</v>
      </c>
      <c r="D10" s="3" t="s">
        <v>11</v>
      </c>
      <c r="E10" s="26">
        <v>2710</v>
      </c>
      <c r="F10" s="3"/>
      <c r="G10">
        <v>2710</v>
      </c>
      <c r="H10" s="3">
        <v>7850</v>
      </c>
    </row>
    <row r="11" spans="1:27" x14ac:dyDescent="0.15">
      <c r="B11" t="s">
        <v>6</v>
      </c>
      <c r="C11" s="3" t="s">
        <v>189</v>
      </c>
      <c r="D11" s="3" t="s">
        <v>7</v>
      </c>
      <c r="E11" s="26">
        <f>E6*0.0254</f>
        <v>0.43179999999999996</v>
      </c>
      <c r="F11" s="3" t="s">
        <v>179</v>
      </c>
      <c r="G11" s="60"/>
      <c r="H11" s="3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</row>
    <row r="12" spans="1:27" x14ac:dyDescent="0.15">
      <c r="B12" t="s">
        <v>8</v>
      </c>
      <c r="C12" s="3" t="s">
        <v>190</v>
      </c>
      <c r="D12" s="3" t="s">
        <v>7</v>
      </c>
      <c r="E12" s="26">
        <f>E11-2*E9</f>
        <v>0.41779999999999995</v>
      </c>
      <c r="F12" s="3" t="s">
        <v>181</v>
      </c>
      <c r="G12" s="3"/>
      <c r="H12" s="3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</row>
    <row r="13" spans="1:27" x14ac:dyDescent="0.15">
      <c r="B13" t="s">
        <v>187</v>
      </c>
      <c r="C13" s="3" t="s">
        <v>191</v>
      </c>
      <c r="D13" s="3" t="s">
        <v>7</v>
      </c>
      <c r="E13" s="26">
        <f>E11/2</f>
        <v>0.21589999999999998</v>
      </c>
      <c r="F13" s="3"/>
      <c r="G13" s="3"/>
      <c r="H13" s="3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spans="1:27" x14ac:dyDescent="0.15">
      <c r="B14" t="s">
        <v>188</v>
      </c>
      <c r="C14" s="3" t="s">
        <v>192</v>
      </c>
      <c r="D14" s="3" t="s">
        <v>7</v>
      </c>
      <c r="E14" s="26">
        <f>E12/2</f>
        <v>0.20889999999999997</v>
      </c>
      <c r="F14" s="3"/>
      <c r="G14" s="3"/>
      <c r="H14" s="3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</row>
    <row r="15" spans="1:27" x14ac:dyDescent="0.15">
      <c r="B15" t="s">
        <v>51</v>
      </c>
      <c r="C15" s="3" t="s">
        <v>193</v>
      </c>
      <c r="D15" s="3" t="s">
        <v>7</v>
      </c>
      <c r="E15" s="26">
        <f>E7*0.0254</f>
        <v>0.1905</v>
      </c>
      <c r="F15" s="3" t="s">
        <v>180</v>
      </c>
      <c r="G15" s="3"/>
      <c r="H15" s="3"/>
    </row>
    <row r="16" spans="1:27" x14ac:dyDescent="0.15">
      <c r="B16" t="s">
        <v>154</v>
      </c>
      <c r="C16" s="3" t="s">
        <v>99</v>
      </c>
      <c r="D16" s="3" t="s">
        <v>12</v>
      </c>
      <c r="E16" s="53">
        <f>E10*PI()*((E11*E11-E12*E12)*E15)/4</f>
        <v>4.8227715651709904</v>
      </c>
      <c r="F16" s="3" t="s">
        <v>194</v>
      </c>
      <c r="G16" s="3"/>
      <c r="H16" s="3"/>
    </row>
    <row r="17" spans="1:10" x14ac:dyDescent="0.15">
      <c r="B17" s="3" t="s">
        <v>184</v>
      </c>
      <c r="C17" s="3" t="s">
        <v>186</v>
      </c>
      <c r="D17" s="3" t="s">
        <v>13</v>
      </c>
      <c r="E17" s="44">
        <f>E16*(E13^2+E14^2)/2</f>
        <v>0.21763243787762174</v>
      </c>
      <c r="F17" s="3" t="s">
        <v>195</v>
      </c>
      <c r="G17" s="3"/>
      <c r="H17" s="3"/>
    </row>
    <row r="18" spans="1:10" x14ac:dyDescent="0.15">
      <c r="B18" s="3" t="s">
        <v>216</v>
      </c>
      <c r="C18" s="3" t="s">
        <v>185</v>
      </c>
      <c r="D18" s="3" t="s">
        <v>13</v>
      </c>
      <c r="E18" s="44">
        <f>E16*(E13^2+E14^2+E15^2/3)/4</f>
        <v>0.12340118442155641</v>
      </c>
      <c r="F18" s="3" t="s">
        <v>196</v>
      </c>
      <c r="G18" s="3"/>
      <c r="H18" s="3"/>
    </row>
    <row r="19" spans="1:10" x14ac:dyDescent="0.15">
      <c r="B19" s="3" t="s">
        <v>155</v>
      </c>
      <c r="C19" s="3"/>
      <c r="D19" s="3" t="s">
        <v>47</v>
      </c>
      <c r="E19" s="44">
        <f>PI()*(E5^2-E11^2)*E15/4</f>
        <v>3.3387149304133633E-2</v>
      </c>
      <c r="F19" s="3"/>
      <c r="G19" s="3" t="s">
        <v>156</v>
      </c>
      <c r="H19" s="3"/>
    </row>
    <row r="20" spans="1:10" x14ac:dyDescent="0.15">
      <c r="B20" s="3"/>
      <c r="C20" s="3"/>
      <c r="D20" s="3"/>
      <c r="E20" s="44"/>
      <c r="F20" s="3"/>
      <c r="G20" s="3"/>
      <c r="H20" s="3"/>
    </row>
    <row r="21" spans="1:10" x14ac:dyDescent="0.15">
      <c r="B21" s="3"/>
      <c r="C21" s="3"/>
      <c r="D21" s="3"/>
      <c r="E21" s="14"/>
      <c r="F21" s="3"/>
      <c r="G21" s="3"/>
      <c r="H21" s="3"/>
      <c r="I21" s="11"/>
      <c r="J21" s="11"/>
    </row>
    <row r="22" spans="1:10" x14ac:dyDescent="0.15">
      <c r="A22" s="9" t="s">
        <v>158</v>
      </c>
    </row>
    <row r="23" spans="1:10" x14ac:dyDescent="0.15">
      <c r="B23" t="s">
        <v>159</v>
      </c>
      <c r="C23" t="s">
        <v>160</v>
      </c>
      <c r="D23" s="3" t="s">
        <v>13</v>
      </c>
      <c r="E23" s="4">
        <v>1</v>
      </c>
    </row>
    <row r="24" spans="1:10" x14ac:dyDescent="0.15">
      <c r="B24" t="s">
        <v>150</v>
      </c>
      <c r="C24" t="s">
        <v>21</v>
      </c>
      <c r="D24" t="s">
        <v>57</v>
      </c>
      <c r="E24" s="4">
        <v>100</v>
      </c>
      <c r="G24" s="13"/>
    </row>
    <row r="25" spans="1:10" x14ac:dyDescent="0.15">
      <c r="B25" t="s">
        <v>163</v>
      </c>
      <c r="C25" t="s">
        <v>136</v>
      </c>
      <c r="D25" t="s">
        <v>164</v>
      </c>
      <c r="E25" s="4">
        <v>10</v>
      </c>
    </row>
    <row r="26" spans="1:10" x14ac:dyDescent="0.15">
      <c r="B26" t="s">
        <v>2</v>
      </c>
      <c r="C26" t="s">
        <v>67</v>
      </c>
      <c r="D26" s="3" t="s">
        <v>7</v>
      </c>
      <c r="E26" s="4">
        <v>0.64</v>
      </c>
    </row>
    <row r="27" spans="1:10" x14ac:dyDescent="0.15">
      <c r="B27" t="s">
        <v>0</v>
      </c>
      <c r="C27" t="s">
        <v>132</v>
      </c>
      <c r="D27" s="3" t="s">
        <v>124</v>
      </c>
      <c r="E27" s="45">
        <f>(1000*E24/60)/(PI()*E26)</f>
        <v>828.93199527028821</v>
      </c>
      <c r="F27" t="s">
        <v>170</v>
      </c>
    </row>
    <row r="28" spans="1:10" x14ac:dyDescent="0.15">
      <c r="B28" t="s">
        <v>150</v>
      </c>
      <c r="C28" t="s">
        <v>127</v>
      </c>
      <c r="D28" s="3" t="s">
        <v>128</v>
      </c>
      <c r="E28" s="45">
        <f>1000*E24/60/60</f>
        <v>27.777777777777779</v>
      </c>
      <c r="F28" t="s">
        <v>85</v>
      </c>
    </row>
    <row r="29" spans="1:10" x14ac:dyDescent="0.15">
      <c r="B29" t="s">
        <v>165</v>
      </c>
      <c r="C29" t="s">
        <v>125</v>
      </c>
      <c r="D29" s="3" t="s">
        <v>112</v>
      </c>
      <c r="E29" s="45">
        <f>2*E28/E26</f>
        <v>86.805555555555557</v>
      </c>
      <c r="F29" t="s">
        <v>171</v>
      </c>
    </row>
    <row r="30" spans="1:10" x14ac:dyDescent="0.15">
      <c r="B30" t="s">
        <v>161</v>
      </c>
      <c r="C30" t="s">
        <v>162</v>
      </c>
      <c r="D30" s="3" t="s">
        <v>106</v>
      </c>
      <c r="E30" s="57">
        <f>E29/E25</f>
        <v>8.6805555555555554</v>
      </c>
      <c r="F30" t="s">
        <v>172</v>
      </c>
    </row>
    <row r="31" spans="1:10" x14ac:dyDescent="0.15">
      <c r="B31" t="s">
        <v>71</v>
      </c>
      <c r="C31" t="s">
        <v>131</v>
      </c>
      <c r="D31" s="3" t="s">
        <v>46</v>
      </c>
      <c r="E31" s="58">
        <f>E23*E30</f>
        <v>8.6805555555555554</v>
      </c>
      <c r="F31" t="s">
        <v>173</v>
      </c>
    </row>
    <row r="32" spans="1:10" x14ac:dyDescent="0.15">
      <c r="B32" t="s">
        <v>72</v>
      </c>
      <c r="D32" s="3" t="s">
        <v>17</v>
      </c>
      <c r="E32" s="32">
        <f>PI()*E27*E31/30</f>
        <v>753.52044753086409</v>
      </c>
      <c r="F32" t="s">
        <v>130</v>
      </c>
    </row>
    <row r="33" spans="1:15" x14ac:dyDescent="0.15">
      <c r="B33" t="s">
        <v>73</v>
      </c>
      <c r="D33" s="3" t="s">
        <v>70</v>
      </c>
      <c r="E33" s="29">
        <f>E32/735</f>
        <v>1.025197887797094</v>
      </c>
      <c r="F33" t="s">
        <v>174</v>
      </c>
    </row>
    <row r="34" spans="1:15" x14ac:dyDescent="0.15">
      <c r="D34" s="3"/>
      <c r="E34" s="45"/>
    </row>
    <row r="35" spans="1:15" x14ac:dyDescent="0.15">
      <c r="B35" t="s">
        <v>167</v>
      </c>
      <c r="C35" t="s">
        <v>168</v>
      </c>
      <c r="D35" t="s">
        <v>169</v>
      </c>
      <c r="E35" s="7">
        <f>E28/E25</f>
        <v>2.7777777777777777</v>
      </c>
      <c r="F35" t="s">
        <v>83</v>
      </c>
    </row>
    <row r="36" spans="1:15" x14ac:dyDescent="0.15">
      <c r="B36" t="s">
        <v>166</v>
      </c>
      <c r="C36" t="s">
        <v>99</v>
      </c>
      <c r="D36" s="3" t="s">
        <v>96</v>
      </c>
      <c r="E36" s="59">
        <f>2*E31/(E35*E26)</f>
        <v>9.765625</v>
      </c>
      <c r="F36" t="s">
        <v>175</v>
      </c>
    </row>
    <row r="37" spans="1:15" x14ac:dyDescent="0.15">
      <c r="D37" s="3"/>
      <c r="E37">
        <f>4*E23/E26^2</f>
        <v>9.765625</v>
      </c>
      <c r="F37" t="s">
        <v>183</v>
      </c>
    </row>
    <row r="38" spans="1:15" x14ac:dyDescent="0.15">
      <c r="E38" s="7"/>
    </row>
    <row r="39" spans="1:15" x14ac:dyDescent="0.15">
      <c r="B39" s="10" t="s">
        <v>157</v>
      </c>
      <c r="C39" s="3"/>
      <c r="D39" s="3"/>
      <c r="E39" s="14"/>
      <c r="F39" s="3"/>
      <c r="G39" s="3"/>
      <c r="H39" s="3"/>
      <c r="J39" s="9" t="s">
        <v>252</v>
      </c>
      <c r="N39" t="s">
        <v>259</v>
      </c>
    </row>
    <row r="40" spans="1:15" s="26" customFormat="1" x14ac:dyDescent="0.15">
      <c r="A40" s="42"/>
      <c r="B40" t="s">
        <v>38</v>
      </c>
      <c r="C40" s="2" t="s">
        <v>39</v>
      </c>
      <c r="D40" s="2" t="s">
        <v>40</v>
      </c>
      <c r="E40" t="s">
        <v>41</v>
      </c>
      <c r="F40" s="18" t="s">
        <v>42</v>
      </c>
      <c r="G40" t="s">
        <v>43</v>
      </c>
      <c r="H40"/>
    </row>
    <row r="41" spans="1:15" s="26" customFormat="1" x14ac:dyDescent="0.15">
      <c r="B41" s="16" t="s">
        <v>44</v>
      </c>
      <c r="C41" s="17" t="s">
        <v>44</v>
      </c>
      <c r="D41" s="17" t="s">
        <v>3</v>
      </c>
      <c r="E41" s="52" t="s">
        <v>25</v>
      </c>
      <c r="F41" s="19" t="s">
        <v>45</v>
      </c>
      <c r="G41" s="16" t="s">
        <v>46</v>
      </c>
      <c r="H41" s="61"/>
      <c r="I41"/>
      <c r="J41" s="3"/>
      <c r="L41" s="67"/>
      <c r="N41" s="26" t="s">
        <v>248</v>
      </c>
      <c r="O41" s="26" t="s">
        <v>254</v>
      </c>
    </row>
    <row r="42" spans="1:15" s="26" customFormat="1" x14ac:dyDescent="0.15">
      <c r="B42">
        <v>17</v>
      </c>
      <c r="C42" s="2">
        <v>7.5</v>
      </c>
      <c r="D42" s="2">
        <v>7</v>
      </c>
      <c r="E42" s="7">
        <v>4.82</v>
      </c>
      <c r="F42" s="20">
        <v>0.218</v>
      </c>
      <c r="G42" s="15">
        <f>F42*8.68</f>
        <v>1.8922399999999999</v>
      </c>
      <c r="H42"/>
      <c r="I42"/>
      <c r="J42" s="3" t="s">
        <v>253</v>
      </c>
      <c r="L42" s="48" t="s">
        <v>45</v>
      </c>
      <c r="M42" s="26" t="s">
        <v>249</v>
      </c>
      <c r="N42" s="26">
        <f>4*(F43-F42)</f>
        <v>0.34399999999999997</v>
      </c>
      <c r="O42" s="59"/>
    </row>
    <row r="43" spans="1:15" s="26" customFormat="1" x14ac:dyDescent="0.15">
      <c r="B43">
        <v>17</v>
      </c>
      <c r="C43" s="2">
        <v>7.5</v>
      </c>
      <c r="D43" s="2">
        <v>10</v>
      </c>
      <c r="E43" s="7">
        <v>6.84</v>
      </c>
      <c r="F43" s="20">
        <v>0.30399999999999999</v>
      </c>
      <c r="G43" s="15">
        <f>F43*8.68</f>
        <v>2.6387199999999997</v>
      </c>
      <c r="H43" s="25"/>
      <c r="I43"/>
      <c r="J43" s="26" t="s">
        <v>242</v>
      </c>
      <c r="L43" s="26" t="s">
        <v>245</v>
      </c>
      <c r="M43" s="26" t="s">
        <v>250</v>
      </c>
      <c r="N43" s="68">
        <v>0.62</v>
      </c>
      <c r="O43" s="68">
        <v>0.62</v>
      </c>
    </row>
    <row r="44" spans="1:15" s="26" customFormat="1" x14ac:dyDescent="0.15">
      <c r="B44">
        <v>16</v>
      </c>
      <c r="C44" s="2">
        <v>7</v>
      </c>
      <c r="D44" s="2">
        <v>10</v>
      </c>
      <c r="E44" s="7">
        <v>6</v>
      </c>
      <c r="F44" s="18">
        <v>0.23599999999999999</v>
      </c>
      <c r="G44" s="15">
        <f>F44*8.68</f>
        <v>2.0484799999999996</v>
      </c>
      <c r="H44"/>
      <c r="I44"/>
      <c r="J44" t="s">
        <v>247</v>
      </c>
      <c r="L44" s="26" t="s">
        <v>246</v>
      </c>
      <c r="M44" s="26" t="s">
        <v>245</v>
      </c>
      <c r="N44" s="66">
        <f>4*N42/N43^2</f>
        <v>3.5796045785639952</v>
      </c>
      <c r="O44" s="66"/>
    </row>
    <row r="45" spans="1:15" s="26" customFormat="1" x14ac:dyDescent="0.15">
      <c r="B45">
        <v>15</v>
      </c>
      <c r="C45" s="2">
        <v>6.5</v>
      </c>
      <c r="D45" s="2">
        <v>10</v>
      </c>
      <c r="E45" s="7">
        <v>5.21</v>
      </c>
      <c r="F45" s="18">
        <v>0.18</v>
      </c>
      <c r="G45" s="15">
        <f>F45*8.68</f>
        <v>1.5623999999999998</v>
      </c>
      <c r="H45"/>
      <c r="I45"/>
      <c r="J45" t="s">
        <v>243</v>
      </c>
      <c r="L45" s="26" t="s">
        <v>244</v>
      </c>
      <c r="M45" s="26" t="s">
        <v>251</v>
      </c>
      <c r="N45" s="33">
        <f>N44/N42</f>
        <v>10.405827263267428</v>
      </c>
      <c r="O45" s="33">
        <f>4/O43^2</f>
        <v>10.40582726326743</v>
      </c>
    </row>
    <row r="46" spans="1:15" s="26" customFormat="1" x14ac:dyDescent="0.15">
      <c r="B46">
        <v>14</v>
      </c>
      <c r="C46" s="2">
        <v>6</v>
      </c>
      <c r="D46" s="2">
        <v>10</v>
      </c>
      <c r="E46" s="7">
        <v>4.4800000000000004</v>
      </c>
      <c r="F46" s="18">
        <v>0.13400000000000001</v>
      </c>
      <c r="G46" s="15">
        <f>F46*8.68</f>
        <v>1.1631199999999999</v>
      </c>
      <c r="H46"/>
      <c r="I46"/>
    </row>
    <row r="47" spans="1:15" x14ac:dyDescent="0.15">
      <c r="F47" s="7"/>
      <c r="K47" s="26"/>
      <c r="L47" s="26"/>
      <c r="M47" s="26"/>
      <c r="N47" t="s">
        <v>255</v>
      </c>
    </row>
    <row r="48" spans="1:15" x14ac:dyDescent="0.15">
      <c r="B48" t="s">
        <v>48</v>
      </c>
    </row>
    <row r="49" spans="1:14" x14ac:dyDescent="0.15">
      <c r="G49" s="26"/>
      <c r="H49" s="26"/>
      <c r="I49" s="26"/>
      <c r="J49" s="26"/>
    </row>
    <row r="50" spans="1:14" x14ac:dyDescent="0.15">
      <c r="G50" s="26"/>
      <c r="H50" s="26"/>
      <c r="I50" s="26"/>
      <c r="J50" s="26"/>
    </row>
    <row r="51" spans="1:14" x14ac:dyDescent="0.15">
      <c r="G51" s="26"/>
      <c r="H51" s="26"/>
      <c r="I51" s="33"/>
      <c r="J51" s="26"/>
    </row>
    <row r="52" spans="1:14" x14ac:dyDescent="0.15">
      <c r="G52" s="26"/>
      <c r="H52" s="26"/>
      <c r="I52" s="26"/>
      <c r="N52" s="7"/>
    </row>
    <row r="53" spans="1:14" x14ac:dyDescent="0.15">
      <c r="G53" s="26"/>
      <c r="H53" s="26"/>
      <c r="I53" s="26"/>
    </row>
    <row r="54" spans="1:14" x14ac:dyDescent="0.15">
      <c r="A54" s="42" t="s">
        <v>148</v>
      </c>
      <c r="B54" s="26"/>
      <c r="C54" s="26"/>
      <c r="D54" s="26"/>
      <c r="E54" s="26"/>
      <c r="F54" s="26"/>
      <c r="G54" s="26"/>
    </row>
    <row r="55" spans="1:14" x14ac:dyDescent="0.15">
      <c r="A55" s="26"/>
      <c r="B55" s="3" t="s">
        <v>229</v>
      </c>
      <c r="C55" t="s">
        <v>203</v>
      </c>
      <c r="D55" s="3" t="s">
        <v>75</v>
      </c>
      <c r="E55" s="12">
        <v>10</v>
      </c>
      <c r="F55" s="26" t="s">
        <v>200</v>
      </c>
      <c r="G55" s="26"/>
      <c r="N55" s="11"/>
    </row>
    <row r="56" spans="1:14" x14ac:dyDescent="0.15">
      <c r="B56" s="3" t="s">
        <v>2</v>
      </c>
      <c r="C56" t="s">
        <v>135</v>
      </c>
      <c r="D56" s="3" t="s">
        <v>7</v>
      </c>
      <c r="E56" s="12">
        <v>0.64</v>
      </c>
    </row>
    <row r="57" spans="1:14" x14ac:dyDescent="0.15">
      <c r="A57" s="26"/>
      <c r="B57" t="s">
        <v>150</v>
      </c>
      <c r="C57" t="s">
        <v>209</v>
      </c>
      <c r="D57" s="3" t="s">
        <v>57</v>
      </c>
      <c r="E57" s="12">
        <v>100</v>
      </c>
      <c r="F57" s="26"/>
      <c r="G57" s="26"/>
      <c r="N57" s="11"/>
    </row>
    <row r="58" spans="1:14" x14ac:dyDescent="0.15">
      <c r="A58" s="26"/>
      <c r="B58" s="3" t="s">
        <v>42</v>
      </c>
      <c r="C58" t="s">
        <v>186</v>
      </c>
      <c r="D58" s="3" t="s">
        <v>13</v>
      </c>
      <c r="E58" s="12">
        <v>0.32</v>
      </c>
      <c r="F58" s="26"/>
      <c r="G58" s="26"/>
      <c r="N58" s="11"/>
    </row>
    <row r="59" spans="1:14" x14ac:dyDescent="0.15">
      <c r="B59" s="3" t="s">
        <v>55</v>
      </c>
      <c r="C59" t="s">
        <v>132</v>
      </c>
      <c r="D59" s="3" t="s">
        <v>58</v>
      </c>
      <c r="E59" s="30">
        <f>(1000*E57/60)/(PI()*E56)</f>
        <v>828.93199527028821</v>
      </c>
    </row>
    <row r="60" spans="1:14" x14ac:dyDescent="0.15">
      <c r="A60" s="26"/>
      <c r="B60" s="3" t="s">
        <v>76</v>
      </c>
      <c r="C60" t="s">
        <v>208</v>
      </c>
      <c r="D60" s="3" t="s">
        <v>37</v>
      </c>
      <c r="E60" s="29">
        <f>PI()*E59/30</f>
        <v>86.805555555555557</v>
      </c>
      <c r="F60" s="26"/>
      <c r="G60" s="26"/>
      <c r="N60" s="11"/>
    </row>
    <row r="61" spans="1:14" x14ac:dyDescent="0.15">
      <c r="B61" s="3" t="s">
        <v>74</v>
      </c>
      <c r="C61" t="s">
        <v>204</v>
      </c>
      <c r="D61" s="3" t="s">
        <v>37</v>
      </c>
      <c r="E61" s="29">
        <f>2*PI()*E55/360</f>
        <v>0.17453292519943295</v>
      </c>
    </row>
    <row r="62" spans="1:14" x14ac:dyDescent="0.15">
      <c r="A62" s="26"/>
      <c r="B62" s="3" t="s">
        <v>77</v>
      </c>
      <c r="C62" t="s">
        <v>210</v>
      </c>
      <c r="D62" s="63" t="s">
        <v>14</v>
      </c>
      <c r="E62" s="29">
        <f>E58*E60*E61</f>
        <v>4.84813681109536</v>
      </c>
      <c r="F62" s="26"/>
      <c r="G62" s="26"/>
      <c r="N62" s="11"/>
    </row>
    <row r="63" spans="1:14" x14ac:dyDescent="0.15">
      <c r="A63" s="26"/>
      <c r="B63" t="s">
        <v>222</v>
      </c>
      <c r="C63" t="s">
        <v>207</v>
      </c>
      <c r="D63" s="63" t="s">
        <v>107</v>
      </c>
      <c r="E63" s="28">
        <f>E62/(0.5*E56)</f>
        <v>15.150427534673</v>
      </c>
      <c r="F63" t="s">
        <v>198</v>
      </c>
      <c r="G63" s="26"/>
      <c r="N63" s="11"/>
    </row>
    <row r="64" spans="1:14" x14ac:dyDescent="0.15">
      <c r="E64" s="3"/>
    </row>
    <row r="65" spans="1:14" x14ac:dyDescent="0.15">
      <c r="A65" s="42" t="s">
        <v>199</v>
      </c>
      <c r="B65" s="26"/>
      <c r="C65" s="26"/>
      <c r="D65" s="26"/>
      <c r="E65" s="26"/>
      <c r="F65" s="26"/>
      <c r="G65" s="26"/>
    </row>
    <row r="66" spans="1:14" x14ac:dyDescent="0.15">
      <c r="A66" s="26"/>
      <c r="B66" s="3" t="s">
        <v>220</v>
      </c>
      <c r="C66" t="s">
        <v>202</v>
      </c>
      <c r="D66" s="3" t="s">
        <v>110</v>
      </c>
      <c r="E66" s="12">
        <v>10</v>
      </c>
      <c r="F66" s="26" t="s">
        <v>114</v>
      </c>
      <c r="G66" s="26"/>
      <c r="N66" s="11"/>
    </row>
    <row r="67" spans="1:14" x14ac:dyDescent="0.15">
      <c r="A67" s="26"/>
      <c r="B67" s="3" t="s">
        <v>109</v>
      </c>
      <c r="C67" t="s">
        <v>206</v>
      </c>
      <c r="D67" s="3" t="s">
        <v>108</v>
      </c>
      <c r="E67" s="12">
        <v>1</v>
      </c>
      <c r="F67" s="26" t="s">
        <v>217</v>
      </c>
      <c r="G67" s="26"/>
      <c r="N67" s="11"/>
    </row>
    <row r="68" spans="1:14" x14ac:dyDescent="0.15">
      <c r="B68" s="3" t="s">
        <v>2</v>
      </c>
      <c r="C68" t="s">
        <v>135</v>
      </c>
      <c r="D68" s="3" t="s">
        <v>7</v>
      </c>
      <c r="E68" s="12">
        <v>0.64</v>
      </c>
    </row>
    <row r="69" spans="1:14" x14ac:dyDescent="0.15">
      <c r="A69" s="26"/>
      <c r="B69" t="s">
        <v>150</v>
      </c>
      <c r="C69" t="s">
        <v>209</v>
      </c>
      <c r="D69" s="3" t="s">
        <v>57</v>
      </c>
      <c r="E69" s="12">
        <v>100</v>
      </c>
      <c r="F69" s="26"/>
      <c r="G69" s="26"/>
      <c r="N69" s="11"/>
    </row>
    <row r="70" spans="1:14" x14ac:dyDescent="0.15">
      <c r="A70" s="26"/>
      <c r="B70" s="3" t="s">
        <v>42</v>
      </c>
      <c r="C70" t="s">
        <v>186</v>
      </c>
      <c r="D70" s="3" t="s">
        <v>13</v>
      </c>
      <c r="E70" s="12">
        <v>0.17</v>
      </c>
      <c r="F70" s="26"/>
      <c r="G70" s="26"/>
      <c r="N70" s="11"/>
    </row>
    <row r="71" spans="1:14" x14ac:dyDescent="0.15">
      <c r="B71" s="3" t="s">
        <v>220</v>
      </c>
      <c r="C71" t="s">
        <v>125</v>
      </c>
      <c r="D71" s="3" t="s">
        <v>111</v>
      </c>
      <c r="E71" s="29">
        <f>2*PI()*E66/360</f>
        <v>0.17453292519943295</v>
      </c>
      <c r="F71" t="s">
        <v>228</v>
      </c>
    </row>
    <row r="72" spans="1:14" x14ac:dyDescent="0.15">
      <c r="B72" s="3" t="s">
        <v>218</v>
      </c>
      <c r="C72" t="s">
        <v>204</v>
      </c>
      <c r="D72" s="3" t="s">
        <v>112</v>
      </c>
      <c r="E72" s="29">
        <f>E71*2*PI()*E67</f>
        <v>1.0966227112321509</v>
      </c>
      <c r="F72" t="s">
        <v>212</v>
      </c>
      <c r="H72">
        <f>0.17*86.81*1.1</f>
        <v>16.233470000000004</v>
      </c>
    </row>
    <row r="73" spans="1:14" x14ac:dyDescent="0.15">
      <c r="B73" s="3" t="s">
        <v>55</v>
      </c>
      <c r="C73" t="s">
        <v>132</v>
      </c>
      <c r="D73" s="3" t="s">
        <v>58</v>
      </c>
      <c r="E73" s="30">
        <f>(1000*E69/60)/(PI()*E68)</f>
        <v>828.93199527028821</v>
      </c>
    </row>
    <row r="74" spans="1:14" x14ac:dyDescent="0.15">
      <c r="A74" s="26"/>
      <c r="B74" s="3" t="s">
        <v>76</v>
      </c>
      <c r="C74" t="s">
        <v>208</v>
      </c>
      <c r="D74" s="3" t="s">
        <v>37</v>
      </c>
      <c r="E74" s="29">
        <f>PI()*E73/30</f>
        <v>86.805555555555557</v>
      </c>
      <c r="F74" s="26"/>
      <c r="G74" s="26"/>
      <c r="N74" s="11"/>
    </row>
    <row r="75" spans="1:14" x14ac:dyDescent="0.15">
      <c r="A75" s="26"/>
      <c r="B75" s="3" t="s">
        <v>77</v>
      </c>
      <c r="C75" t="s">
        <v>210</v>
      </c>
      <c r="D75" s="63" t="s">
        <v>14</v>
      </c>
      <c r="E75" s="29">
        <f>E70*E74*E72</f>
        <v>16.182800426168896</v>
      </c>
      <c r="F75" s="26" t="s">
        <v>213</v>
      </c>
      <c r="G75" s="26"/>
      <c r="N75" s="11"/>
    </row>
    <row r="76" spans="1:14" x14ac:dyDescent="0.15">
      <c r="A76" s="26"/>
      <c r="B76" t="s">
        <v>222</v>
      </c>
      <c r="C76" t="s">
        <v>207</v>
      </c>
      <c r="D76" s="63" t="s">
        <v>107</v>
      </c>
      <c r="E76" s="28">
        <f>E75/(0.5*E68)</f>
        <v>50.571251331777802</v>
      </c>
      <c r="F76" t="s">
        <v>198</v>
      </c>
      <c r="G76" s="26"/>
      <c r="N76" s="11"/>
    </row>
    <row r="77" spans="1:14" x14ac:dyDescent="0.15">
      <c r="E77" s="3"/>
    </row>
    <row r="78" spans="1:14" x14ac:dyDescent="0.15">
      <c r="A78" s="42" t="s">
        <v>215</v>
      </c>
    </row>
    <row r="79" spans="1:14" x14ac:dyDescent="0.15">
      <c r="A79" s="26"/>
      <c r="B79" s="3" t="s">
        <v>220</v>
      </c>
      <c r="C79" t="s">
        <v>202</v>
      </c>
      <c r="D79" s="3" t="s">
        <v>110</v>
      </c>
      <c r="E79" s="12">
        <v>10</v>
      </c>
      <c r="F79" s="26" t="s">
        <v>114</v>
      </c>
      <c r="G79" s="26"/>
      <c r="N79" s="11"/>
    </row>
    <row r="80" spans="1:14" x14ac:dyDescent="0.15">
      <c r="A80" s="26"/>
      <c r="B80" s="3" t="s">
        <v>109</v>
      </c>
      <c r="C80" t="s">
        <v>206</v>
      </c>
      <c r="D80" s="3" t="s">
        <v>108</v>
      </c>
      <c r="E80" s="12">
        <v>1</v>
      </c>
      <c r="F80" s="26" t="s">
        <v>217</v>
      </c>
      <c r="G80" s="26"/>
      <c r="N80" s="11"/>
    </row>
    <row r="81" spans="1:14" x14ac:dyDescent="0.15">
      <c r="B81" s="3" t="s">
        <v>2</v>
      </c>
      <c r="C81" t="s">
        <v>135</v>
      </c>
      <c r="D81" s="3" t="s">
        <v>7</v>
      </c>
      <c r="E81" s="12">
        <v>0.64</v>
      </c>
    </row>
    <row r="82" spans="1:14" x14ac:dyDescent="0.15">
      <c r="A82" s="26"/>
      <c r="B82" s="3" t="s">
        <v>197</v>
      </c>
      <c r="C82" t="s">
        <v>185</v>
      </c>
      <c r="D82" s="3" t="s">
        <v>13</v>
      </c>
      <c r="E82" s="62">
        <v>0.1</v>
      </c>
      <c r="F82" s="26"/>
      <c r="G82" s="26"/>
      <c r="N82" s="11"/>
    </row>
    <row r="83" spans="1:14" x14ac:dyDescent="0.15">
      <c r="B83" s="3" t="s">
        <v>220</v>
      </c>
      <c r="C83" t="s">
        <v>125</v>
      </c>
      <c r="D83" s="3" t="s">
        <v>111</v>
      </c>
      <c r="E83" s="29">
        <f>2*PI()*E79/360</f>
        <v>0.17453292519943295</v>
      </c>
      <c r="F83" t="s">
        <v>201</v>
      </c>
    </row>
    <row r="84" spans="1:14" x14ac:dyDescent="0.15">
      <c r="B84" s="3" t="s">
        <v>218</v>
      </c>
      <c r="C84" t="s">
        <v>204</v>
      </c>
      <c r="D84" s="3" t="s">
        <v>112</v>
      </c>
      <c r="E84" s="29">
        <f>E83*2*PI()*E80</f>
        <v>1.0966227112321509</v>
      </c>
      <c r="F84" t="s">
        <v>212</v>
      </c>
      <c r="H84">
        <f>0.17*6.89</f>
        <v>1.1713</v>
      </c>
    </row>
    <row r="85" spans="1:14" x14ac:dyDescent="0.15">
      <c r="A85" s="26"/>
      <c r="B85" s="3" t="s">
        <v>219</v>
      </c>
      <c r="C85" t="s">
        <v>205</v>
      </c>
      <c r="D85" s="3" t="s">
        <v>106</v>
      </c>
      <c r="E85" s="29">
        <f>E84*2*PI()*E80</f>
        <v>6.8902837067332934</v>
      </c>
      <c r="F85" t="s">
        <v>214</v>
      </c>
      <c r="G85" s="26"/>
      <c r="N85" s="11"/>
    </row>
    <row r="86" spans="1:14" x14ac:dyDescent="0.15">
      <c r="A86" s="26"/>
      <c r="B86" s="3" t="s">
        <v>221</v>
      </c>
      <c r="C86" t="s">
        <v>211</v>
      </c>
      <c r="D86" s="63" t="s">
        <v>223</v>
      </c>
      <c r="E86" s="29">
        <f>E82*E85</f>
        <v>0.68902837067332934</v>
      </c>
      <c r="F86" s="26"/>
      <c r="G86" s="26"/>
      <c r="N86" s="11"/>
    </row>
    <row r="87" spans="1:14" x14ac:dyDescent="0.15">
      <c r="B87" t="s">
        <v>222</v>
      </c>
      <c r="C87" t="s">
        <v>207</v>
      </c>
      <c r="D87" s="63" t="s">
        <v>224</v>
      </c>
      <c r="E87" s="28">
        <f>E86/(0.5*E81)</f>
        <v>2.1532136583541543</v>
      </c>
      <c r="F87" t="s">
        <v>198</v>
      </c>
    </row>
    <row r="88" spans="1:14" x14ac:dyDescent="0.15">
      <c r="B88" s="3"/>
      <c r="D88" s="28"/>
      <c r="E88" s="29"/>
    </row>
    <row r="89" spans="1:14" x14ac:dyDescent="0.15">
      <c r="B89" s="26"/>
      <c r="C89" s="26"/>
      <c r="D89" s="26"/>
      <c r="E89" s="26"/>
      <c r="F89" s="26"/>
      <c r="G89" s="26"/>
    </row>
    <row r="90" spans="1:14" x14ac:dyDescent="0.15">
      <c r="A90" s="42" t="s">
        <v>147</v>
      </c>
    </row>
    <row r="91" spans="1:14" x14ac:dyDescent="0.15">
      <c r="A91" s="26"/>
      <c r="B91" s="3" t="s">
        <v>220</v>
      </c>
      <c r="C91" t="s">
        <v>202</v>
      </c>
      <c r="D91" s="3" t="s">
        <v>110</v>
      </c>
      <c r="E91" s="12">
        <v>10</v>
      </c>
      <c r="F91" s="26" t="s">
        <v>114</v>
      </c>
      <c r="G91" s="26"/>
      <c r="N91" s="11"/>
    </row>
    <row r="92" spans="1:14" x14ac:dyDescent="0.15">
      <c r="A92" s="26"/>
      <c r="B92" s="3" t="s">
        <v>109</v>
      </c>
      <c r="C92" t="s">
        <v>206</v>
      </c>
      <c r="D92" s="3" t="s">
        <v>108</v>
      </c>
      <c r="E92" s="12">
        <v>1</v>
      </c>
      <c r="F92" s="26" t="s">
        <v>113</v>
      </c>
      <c r="G92" s="26"/>
      <c r="N92" s="11"/>
    </row>
    <row r="93" spans="1:14" x14ac:dyDescent="0.15">
      <c r="B93" s="3" t="s">
        <v>103</v>
      </c>
      <c r="C93" t="s">
        <v>4</v>
      </c>
      <c r="D93" s="3" t="s">
        <v>7</v>
      </c>
      <c r="E93" s="12">
        <v>1.63</v>
      </c>
    </row>
    <row r="94" spans="1:14" x14ac:dyDescent="0.15">
      <c r="A94" s="26"/>
      <c r="B94" s="3" t="s">
        <v>105</v>
      </c>
      <c r="C94" t="s">
        <v>227</v>
      </c>
      <c r="D94" s="3" t="s">
        <v>104</v>
      </c>
      <c r="E94" s="12">
        <v>32</v>
      </c>
      <c r="F94" s="26"/>
      <c r="G94" s="26"/>
      <c r="N94" s="11"/>
    </row>
    <row r="95" spans="1:14" x14ac:dyDescent="0.15">
      <c r="A95" s="26"/>
      <c r="B95" s="3" t="s">
        <v>42</v>
      </c>
      <c r="C95" t="s">
        <v>226</v>
      </c>
      <c r="D95" s="3" t="s">
        <v>13</v>
      </c>
      <c r="E95" s="37">
        <f>E94*(0.5*E93)^2</f>
        <v>21.255199999999999</v>
      </c>
      <c r="F95" s="26" t="s">
        <v>140</v>
      </c>
      <c r="G95" s="26"/>
      <c r="N95" s="11"/>
    </row>
    <row r="96" spans="1:14" x14ac:dyDescent="0.15">
      <c r="B96" s="3" t="s">
        <v>220</v>
      </c>
      <c r="C96" t="s">
        <v>125</v>
      </c>
      <c r="D96" s="3" t="s">
        <v>111</v>
      </c>
      <c r="E96" s="29">
        <f>2*PI()*E91/360</f>
        <v>0.17453292519943295</v>
      </c>
    </row>
    <row r="97" spans="1:14" x14ac:dyDescent="0.15">
      <c r="B97" s="3" t="s">
        <v>218</v>
      </c>
      <c r="C97" t="s">
        <v>204</v>
      </c>
      <c r="D97" s="3" t="s">
        <v>112</v>
      </c>
      <c r="E97" s="29">
        <f>E96*2*PI()*E92</f>
        <v>1.0966227112321509</v>
      </c>
    </row>
    <row r="98" spans="1:14" x14ac:dyDescent="0.15">
      <c r="A98" s="26"/>
      <c r="B98" s="3" t="s">
        <v>219</v>
      </c>
      <c r="C98" t="s">
        <v>205</v>
      </c>
      <c r="D98" s="3" t="s">
        <v>106</v>
      </c>
      <c r="E98" s="29">
        <f>E97*2*PI()*E92</f>
        <v>6.8902837067332934</v>
      </c>
      <c r="F98" s="26"/>
      <c r="G98" s="26"/>
      <c r="N98" s="11"/>
    </row>
    <row r="99" spans="1:14" x14ac:dyDescent="0.15">
      <c r="A99" s="26"/>
      <c r="B99" s="3" t="s">
        <v>221</v>
      </c>
      <c r="C99" t="s">
        <v>211</v>
      </c>
      <c r="D99" s="63" t="s">
        <v>225</v>
      </c>
      <c r="E99" s="29">
        <f>E95*E98</f>
        <v>146.45435824335749</v>
      </c>
      <c r="F99" s="26"/>
      <c r="G99" s="26"/>
      <c r="N99" s="11"/>
    </row>
    <row r="100" spans="1:14" x14ac:dyDescent="0.15">
      <c r="B100" t="s">
        <v>222</v>
      </c>
      <c r="C100" t="s">
        <v>207</v>
      </c>
      <c r="D100" t="s">
        <v>107</v>
      </c>
      <c r="E100" s="31">
        <f>E99*0.5*E93</f>
        <v>119.36030196833634</v>
      </c>
      <c r="F100" t="s">
        <v>198</v>
      </c>
    </row>
    <row r="101" spans="1:14" x14ac:dyDescent="0.15">
      <c r="A101" s="26"/>
      <c r="E101" s="3"/>
      <c r="F101" s="26"/>
      <c r="G101" s="26"/>
      <c r="N101" s="11"/>
    </row>
    <row r="103" spans="1:14" x14ac:dyDescent="0.15">
      <c r="A103" s="9" t="s">
        <v>235</v>
      </c>
    </row>
    <row r="104" spans="1:14" x14ac:dyDescent="0.15">
      <c r="B104" t="s">
        <v>150</v>
      </c>
      <c r="C104" t="s">
        <v>21</v>
      </c>
      <c r="D104" t="s">
        <v>57</v>
      </c>
      <c r="E104" s="4">
        <v>100</v>
      </c>
    </row>
    <row r="105" spans="1:14" x14ac:dyDescent="0.15">
      <c r="B105" t="s">
        <v>53</v>
      </c>
      <c r="C105" t="s">
        <v>20</v>
      </c>
      <c r="D105" t="s">
        <v>56</v>
      </c>
      <c r="E105" s="24">
        <v>10</v>
      </c>
    </row>
    <row r="106" spans="1:14" x14ac:dyDescent="0.15">
      <c r="B106" t="s">
        <v>2</v>
      </c>
      <c r="C106" t="s">
        <v>67</v>
      </c>
      <c r="D106" s="3" t="s">
        <v>7</v>
      </c>
      <c r="E106" s="4">
        <v>0.64</v>
      </c>
      <c r="M106" s="39"/>
    </row>
    <row r="107" spans="1:14" x14ac:dyDescent="0.15">
      <c r="B107" t="s">
        <v>236</v>
      </c>
      <c r="C107" t="s">
        <v>32</v>
      </c>
      <c r="D107" s="3" t="s">
        <v>25</v>
      </c>
      <c r="E107" s="12">
        <v>100</v>
      </c>
    </row>
    <row r="108" spans="1:14" x14ac:dyDescent="0.15">
      <c r="B108" t="s">
        <v>55</v>
      </c>
      <c r="C108" t="s">
        <v>68</v>
      </c>
      <c r="D108" s="3" t="s">
        <v>58</v>
      </c>
      <c r="E108" s="36">
        <f>(1000*E104/60)/(PI()*E106)</f>
        <v>828.93199527028821</v>
      </c>
      <c r="F108" t="s">
        <v>84</v>
      </c>
    </row>
    <row r="109" spans="1:14" x14ac:dyDescent="0.15">
      <c r="B109" t="s">
        <v>86</v>
      </c>
      <c r="C109" t="s">
        <v>22</v>
      </c>
      <c r="D109" s="3" t="s">
        <v>16</v>
      </c>
      <c r="E109" s="30">
        <f>1000*E104/(60*60)</f>
        <v>27.777777777777779</v>
      </c>
      <c r="F109" t="s">
        <v>85</v>
      </c>
    </row>
    <row r="110" spans="1:14" x14ac:dyDescent="0.15">
      <c r="B110" t="s">
        <v>62</v>
      </c>
      <c r="C110" t="s">
        <v>23</v>
      </c>
      <c r="D110" s="3" t="s">
        <v>24</v>
      </c>
      <c r="E110" s="30">
        <f>E109/E105</f>
        <v>2.7777777777777777</v>
      </c>
      <c r="F110" t="s">
        <v>83</v>
      </c>
    </row>
    <row r="111" spans="1:14" x14ac:dyDescent="0.15">
      <c r="B111" t="s">
        <v>63</v>
      </c>
      <c r="C111" t="s">
        <v>69</v>
      </c>
      <c r="D111" s="3" t="s">
        <v>59</v>
      </c>
      <c r="E111" s="30">
        <f>E110*E107</f>
        <v>277.77777777777777</v>
      </c>
      <c r="F111" t="s">
        <v>80</v>
      </c>
    </row>
    <row r="112" spans="1:14" x14ac:dyDescent="0.15">
      <c r="B112" t="s">
        <v>64</v>
      </c>
      <c r="C112" t="s">
        <v>17</v>
      </c>
      <c r="D112" s="3" t="s">
        <v>17</v>
      </c>
      <c r="E112" s="34">
        <f>E111*E109</f>
        <v>7716.0493827160499</v>
      </c>
      <c r="F112" t="s">
        <v>81</v>
      </c>
    </row>
    <row r="113" spans="2:7" x14ac:dyDescent="0.15">
      <c r="B113" t="s">
        <v>65</v>
      </c>
      <c r="C113" t="s">
        <v>79</v>
      </c>
      <c r="D113" s="3" t="s">
        <v>46</v>
      </c>
      <c r="E113" s="33">
        <f>E111*E106/2</f>
        <v>88.888888888888886</v>
      </c>
      <c r="F113" t="s">
        <v>82</v>
      </c>
    </row>
    <row r="114" spans="2:7" x14ac:dyDescent="0.15">
      <c r="B114" t="s">
        <v>122</v>
      </c>
      <c r="D114" s="3" t="s">
        <v>70</v>
      </c>
      <c r="E114" s="31">
        <f>E112/735</f>
        <v>10.498026371042245</v>
      </c>
      <c r="F114" t="s">
        <v>174</v>
      </c>
    </row>
    <row r="115" spans="2:7" x14ac:dyDescent="0.15">
      <c r="B115" s="56" t="s">
        <v>60</v>
      </c>
      <c r="D115" s="3"/>
      <c r="E115" s="31"/>
    </row>
    <row r="116" spans="2:7" x14ac:dyDescent="0.15">
      <c r="B116" s="56" t="s">
        <v>18</v>
      </c>
      <c r="C116" s="3"/>
      <c r="D116" s="3" t="s">
        <v>19</v>
      </c>
      <c r="E116" s="34">
        <f>E107*E109^2/2</f>
        <v>38580.246913580246</v>
      </c>
      <c r="F116" t="s">
        <v>88</v>
      </c>
    </row>
    <row r="117" spans="2:7" ht="16.5" customHeight="1" x14ac:dyDescent="0.15">
      <c r="B117" s="40" t="s">
        <v>66</v>
      </c>
      <c r="D117" s="3" t="s">
        <v>17</v>
      </c>
      <c r="E117" s="34">
        <f>2*E116/E105</f>
        <v>7716.049382716049</v>
      </c>
      <c r="F117" t="s">
        <v>89</v>
      </c>
      <c r="G117" t="s">
        <v>87</v>
      </c>
    </row>
    <row r="118" spans="2:7" ht="14.25" customHeight="1" x14ac:dyDescent="0.15">
      <c r="B118" s="40"/>
      <c r="D118" s="3"/>
      <c r="E118" s="34"/>
    </row>
    <row r="119" spans="2:7" x14ac:dyDescent="0.15">
      <c r="B119" s="40"/>
      <c r="D119" s="3"/>
      <c r="E119" s="34"/>
    </row>
    <row r="120" spans="2:7" ht="14.25" customHeight="1" x14ac:dyDescent="0.15">
      <c r="B120" s="40"/>
      <c r="D120" s="3"/>
      <c r="E120" s="34"/>
    </row>
    <row r="121" spans="2:7" ht="14.25" customHeight="1" x14ac:dyDescent="0.15">
      <c r="B121" t="s">
        <v>15</v>
      </c>
      <c r="C121" t="s">
        <v>78</v>
      </c>
      <c r="D121" s="11"/>
      <c r="E121" s="34"/>
    </row>
    <row r="122" spans="2:7" x14ac:dyDescent="0.15">
      <c r="B122">
        <v>0</v>
      </c>
      <c r="C122">
        <v>0</v>
      </c>
      <c r="E122" s="34"/>
    </row>
    <row r="123" spans="2:7" ht="14.25" customHeight="1" x14ac:dyDescent="0.15">
      <c r="B123">
        <v>200</v>
      </c>
      <c r="C123">
        <v>21</v>
      </c>
      <c r="E123" s="34"/>
    </row>
    <row r="124" spans="2:7" ht="14.25" customHeight="1" x14ac:dyDescent="0.15">
      <c r="B124">
        <v>400</v>
      </c>
      <c r="C124">
        <v>42</v>
      </c>
      <c r="E124" s="34"/>
    </row>
    <row r="125" spans="2:7" x14ac:dyDescent="0.15">
      <c r="B125">
        <v>600</v>
      </c>
      <c r="C125">
        <v>63</v>
      </c>
      <c r="E125" s="34"/>
    </row>
    <row r="126" spans="2:7" ht="14.25" customHeight="1" x14ac:dyDescent="0.15">
      <c r="E126" s="34"/>
    </row>
    <row r="127" spans="2:7" ht="14.25" customHeight="1" x14ac:dyDescent="0.15">
      <c r="E127" s="34"/>
    </row>
    <row r="128" spans="2:7" ht="14.25" customHeight="1" x14ac:dyDescent="0.15">
      <c r="E128" s="34"/>
    </row>
    <row r="129" spans="1:5" x14ac:dyDescent="0.15">
      <c r="B129" s="40"/>
      <c r="D129" s="3"/>
      <c r="E129" s="34"/>
    </row>
    <row r="130" spans="1:5" ht="14.25" customHeight="1" x14ac:dyDescent="0.15">
      <c r="B130" s="40"/>
      <c r="D130" s="3"/>
      <c r="E130" s="34"/>
    </row>
    <row r="131" spans="1:5" ht="14.25" customHeight="1" x14ac:dyDescent="0.15">
      <c r="B131" s="40"/>
      <c r="D131" s="3"/>
      <c r="E131" s="34"/>
    </row>
    <row r="132" spans="1:5" x14ac:dyDescent="0.15">
      <c r="B132" s="40"/>
      <c r="D132" s="3"/>
      <c r="E132" s="34"/>
    </row>
    <row r="133" spans="1:5" ht="14.25" customHeight="1" x14ac:dyDescent="0.15">
      <c r="B133" s="40"/>
      <c r="D133" s="3"/>
      <c r="E133" s="34"/>
    </row>
    <row r="134" spans="1:5" ht="14.25" customHeight="1" x14ac:dyDescent="0.15">
      <c r="B134" s="40"/>
      <c r="D134" s="3"/>
      <c r="E134" s="34"/>
    </row>
    <row r="135" spans="1:5" x14ac:dyDescent="0.15">
      <c r="B135" s="40"/>
      <c r="D135" s="3"/>
      <c r="E135" s="34"/>
    </row>
    <row r="136" spans="1:5" ht="14.25" customHeight="1" x14ac:dyDescent="0.15">
      <c r="B136" s="40"/>
      <c r="D136" s="3"/>
      <c r="E136" s="34"/>
    </row>
    <row r="137" spans="1:5" ht="14.25" customHeight="1" x14ac:dyDescent="0.15">
      <c r="B137" s="40" t="s">
        <v>237</v>
      </c>
      <c r="D137" s="3"/>
      <c r="E137" s="34"/>
    </row>
    <row r="138" spans="1:5" ht="14.25" customHeight="1" x14ac:dyDescent="0.15">
      <c r="B138" s="40"/>
      <c r="D138" s="3"/>
      <c r="E138" s="34"/>
    </row>
    <row r="139" spans="1:5" x14ac:dyDescent="0.15">
      <c r="B139" s="40"/>
      <c r="D139" s="3"/>
      <c r="E139" s="34"/>
    </row>
    <row r="140" spans="1:5" x14ac:dyDescent="0.15">
      <c r="A140" s="9" t="s">
        <v>137</v>
      </c>
    </row>
    <row r="142" spans="1:5" x14ac:dyDescent="0.15">
      <c r="B142" t="s">
        <v>54</v>
      </c>
      <c r="C142" t="s">
        <v>21</v>
      </c>
      <c r="D142" t="s">
        <v>57</v>
      </c>
      <c r="E142" s="4">
        <v>100</v>
      </c>
    </row>
    <row r="143" spans="1:5" x14ac:dyDescent="0.15">
      <c r="B143" t="s">
        <v>2</v>
      </c>
      <c r="C143" t="s">
        <v>67</v>
      </c>
      <c r="D143" s="3" t="s">
        <v>7</v>
      </c>
      <c r="E143" s="4">
        <v>0.64</v>
      </c>
    </row>
    <row r="144" spans="1:5" x14ac:dyDescent="0.15">
      <c r="B144" t="s">
        <v>61</v>
      </c>
      <c r="C144" t="s">
        <v>32</v>
      </c>
      <c r="D144" s="3" t="s">
        <v>25</v>
      </c>
      <c r="E144" s="12">
        <v>1400</v>
      </c>
    </row>
    <row r="145" spans="1:8" x14ac:dyDescent="0.15">
      <c r="B145" t="s">
        <v>118</v>
      </c>
      <c r="C145" t="s">
        <v>119</v>
      </c>
      <c r="D145" s="3"/>
      <c r="E145" s="12">
        <v>1.4999999999999999E-2</v>
      </c>
      <c r="F145" t="s">
        <v>241</v>
      </c>
    </row>
    <row r="146" spans="1:8" x14ac:dyDescent="0.15">
      <c r="B146" t="s">
        <v>86</v>
      </c>
      <c r="C146" t="s">
        <v>22</v>
      </c>
      <c r="D146" s="3" t="s">
        <v>16</v>
      </c>
      <c r="E146" s="30">
        <f>1000*E142/(60*60)</f>
        <v>27.777777777777779</v>
      </c>
      <c r="F146" t="s">
        <v>85</v>
      </c>
    </row>
    <row r="147" spans="1:8" x14ac:dyDescent="0.15">
      <c r="D147" s="3"/>
      <c r="E147" s="30"/>
    </row>
    <row r="148" spans="1:8" x14ac:dyDescent="0.15">
      <c r="B148" t="s">
        <v>120</v>
      </c>
      <c r="C148" t="s">
        <v>69</v>
      </c>
      <c r="D148" s="3" t="s">
        <v>59</v>
      </c>
      <c r="E148" s="30">
        <f>9.8*E144*E145</f>
        <v>205.8</v>
      </c>
      <c r="F148" t="s">
        <v>121</v>
      </c>
      <c r="H148" s="5"/>
    </row>
    <row r="149" spans="1:8" x14ac:dyDescent="0.15">
      <c r="B149" t="s">
        <v>64</v>
      </c>
      <c r="C149" t="s">
        <v>17</v>
      </c>
      <c r="D149" s="3" t="s">
        <v>17</v>
      </c>
      <c r="E149" s="34">
        <f>E148*E146</f>
        <v>5716.666666666667</v>
      </c>
      <c r="F149" t="s">
        <v>81</v>
      </c>
      <c r="H149" s="5"/>
    </row>
    <row r="150" spans="1:8" x14ac:dyDescent="0.15">
      <c r="B150" t="s">
        <v>65</v>
      </c>
      <c r="C150" t="s">
        <v>79</v>
      </c>
      <c r="D150" s="3" t="s">
        <v>46</v>
      </c>
      <c r="E150" s="33">
        <f>E148*E143/2</f>
        <v>65.856000000000009</v>
      </c>
      <c r="F150" t="s">
        <v>82</v>
      </c>
      <c r="H150" s="5"/>
    </row>
    <row r="151" spans="1:8" x14ac:dyDescent="0.15">
      <c r="B151" t="s">
        <v>122</v>
      </c>
      <c r="D151" s="3" t="s">
        <v>70</v>
      </c>
      <c r="E151" s="31">
        <f>E149/735</f>
        <v>7.7777777777777786</v>
      </c>
      <c r="F151" t="s">
        <v>174</v>
      </c>
      <c r="H151" s="5"/>
    </row>
    <row r="152" spans="1:8" x14ac:dyDescent="0.15">
      <c r="B152" t="s">
        <v>233</v>
      </c>
      <c r="D152" s="3"/>
      <c r="E152" s="41">
        <v>4</v>
      </c>
      <c r="F152" t="s">
        <v>232</v>
      </c>
      <c r="H152" s="5"/>
    </row>
    <row r="153" spans="1:8" x14ac:dyDescent="0.15">
      <c r="B153" t="s">
        <v>231</v>
      </c>
      <c r="C153" t="s">
        <v>230</v>
      </c>
      <c r="D153" t="s">
        <v>14</v>
      </c>
      <c r="E153" s="23">
        <f>E150/E152</f>
        <v>16.464000000000002</v>
      </c>
      <c r="H153" s="26"/>
    </row>
    <row r="154" spans="1:8" x14ac:dyDescent="0.15">
      <c r="H154" s="5"/>
    </row>
    <row r="155" spans="1:8" x14ac:dyDescent="0.15">
      <c r="B155" t="s">
        <v>238</v>
      </c>
      <c r="H155" s="5"/>
    </row>
    <row r="156" spans="1:8" x14ac:dyDescent="0.15">
      <c r="H156" s="5"/>
    </row>
    <row r="157" spans="1:8" ht="14.25" customHeight="1" x14ac:dyDescent="0.15">
      <c r="B157" s="40"/>
      <c r="D157" s="3"/>
      <c r="E157" s="34"/>
    </row>
    <row r="158" spans="1:8" x14ac:dyDescent="0.15">
      <c r="A158" s="43" t="s">
        <v>138</v>
      </c>
      <c r="B158" s="39"/>
      <c r="C158" s="39"/>
      <c r="D158" s="39"/>
      <c r="E158" s="34"/>
    </row>
    <row r="159" spans="1:8" ht="14.25" customHeight="1" x14ac:dyDescent="0.15">
      <c r="E159" s="34"/>
    </row>
    <row r="160" spans="1:8" x14ac:dyDescent="0.15">
      <c r="B160" t="s">
        <v>90</v>
      </c>
      <c r="D160" t="s">
        <v>4</v>
      </c>
      <c r="E160" s="4">
        <v>50</v>
      </c>
    </row>
    <row r="161" spans="1:6" ht="14.25" customHeight="1" x14ac:dyDescent="0.15">
      <c r="B161" t="s">
        <v>91</v>
      </c>
      <c r="E161">
        <v>0.73</v>
      </c>
    </row>
    <row r="162" spans="1:6" x14ac:dyDescent="0.15">
      <c r="B162" t="s">
        <v>139</v>
      </c>
      <c r="D162" t="s">
        <v>96</v>
      </c>
      <c r="E162" s="9">
        <f>E160*E161</f>
        <v>36.5</v>
      </c>
    </row>
    <row r="163" spans="1:6" ht="14.25" customHeight="1" x14ac:dyDescent="0.15">
      <c r="B163" s="40"/>
      <c r="D163" s="3"/>
      <c r="E163" s="34"/>
    </row>
    <row r="164" spans="1:6" x14ac:dyDescent="0.15">
      <c r="B164" s="40"/>
      <c r="D164" s="3"/>
      <c r="E164" s="34"/>
    </row>
    <row r="165" spans="1:6" x14ac:dyDescent="0.15">
      <c r="A165" s="9" t="s">
        <v>149</v>
      </c>
      <c r="D165" s="3"/>
      <c r="E165" s="26"/>
    </row>
    <row r="166" spans="1:6" x14ac:dyDescent="0.15">
      <c r="B166" t="s">
        <v>150</v>
      </c>
      <c r="C166" t="s">
        <v>21</v>
      </c>
      <c r="D166" t="s">
        <v>57</v>
      </c>
      <c r="E166" s="4">
        <v>100</v>
      </c>
    </row>
    <row r="167" spans="1:6" x14ac:dyDescent="0.15">
      <c r="B167" t="s">
        <v>2</v>
      </c>
      <c r="C167" t="s">
        <v>67</v>
      </c>
      <c r="D167" s="3" t="s">
        <v>7</v>
      </c>
      <c r="E167" s="4">
        <v>0.64</v>
      </c>
    </row>
    <row r="168" spans="1:6" x14ac:dyDescent="0.15">
      <c r="B168" t="s">
        <v>71</v>
      </c>
      <c r="C168" t="s">
        <v>131</v>
      </c>
      <c r="D168" s="3" t="s">
        <v>46</v>
      </c>
      <c r="E168" s="41">
        <v>888.9</v>
      </c>
    </row>
    <row r="169" spans="1:6" x14ac:dyDescent="0.15">
      <c r="B169" t="s">
        <v>0</v>
      </c>
      <c r="C169" t="s">
        <v>132</v>
      </c>
      <c r="D169" s="3" t="s">
        <v>124</v>
      </c>
      <c r="E169" s="45">
        <f>(1000*E166/60)/(PI()*E167)</f>
        <v>828.93199527028821</v>
      </c>
    </row>
    <row r="170" spans="1:6" x14ac:dyDescent="0.15">
      <c r="B170" t="s">
        <v>72</v>
      </c>
      <c r="D170" s="3" t="s">
        <v>17</v>
      </c>
      <c r="E170" s="32">
        <f>PI()*E169*E168/30</f>
        <v>77161.458333333328</v>
      </c>
      <c r="F170" t="s">
        <v>130</v>
      </c>
    </row>
    <row r="171" spans="1:6" x14ac:dyDescent="0.15">
      <c r="B171" t="s">
        <v>73</v>
      </c>
      <c r="D171" s="3" t="s">
        <v>70</v>
      </c>
      <c r="E171" s="64">
        <f>E170/735</f>
        <v>104.98157596371881</v>
      </c>
    </row>
    <row r="172" spans="1:6" x14ac:dyDescent="0.15">
      <c r="B172" s="26"/>
    </row>
    <row r="174" spans="1:6" x14ac:dyDescent="0.15">
      <c r="D174" s="3"/>
      <c r="E174" s="26"/>
    </row>
    <row r="176" spans="1:6" x14ac:dyDescent="0.15">
      <c r="A176" s="9" t="s">
        <v>129</v>
      </c>
    </row>
    <row r="177" spans="1:8" x14ac:dyDescent="0.15">
      <c r="B177" t="s">
        <v>2</v>
      </c>
      <c r="C177" t="s">
        <v>67</v>
      </c>
      <c r="D177" s="3" t="s">
        <v>7</v>
      </c>
      <c r="E177" s="4">
        <v>0.64</v>
      </c>
    </row>
    <row r="178" spans="1:8" x14ac:dyDescent="0.15">
      <c r="B178" t="s">
        <v>55</v>
      </c>
      <c r="C178" t="s">
        <v>68</v>
      </c>
      <c r="D178" s="3" t="s">
        <v>58</v>
      </c>
      <c r="E178" s="41">
        <v>828.9</v>
      </c>
    </row>
    <row r="179" spans="1:8" x14ac:dyDescent="0.15">
      <c r="B179" t="s">
        <v>55</v>
      </c>
      <c r="C179" t="s">
        <v>125</v>
      </c>
      <c r="D179" t="s">
        <v>112</v>
      </c>
      <c r="E179" s="7">
        <f>PI()*E178/30</f>
        <v>86.802205018685981</v>
      </c>
      <c r="F179" t="s">
        <v>134</v>
      </c>
    </row>
    <row r="180" spans="1:8" x14ac:dyDescent="0.15">
      <c r="B180" t="s">
        <v>126</v>
      </c>
      <c r="C180" t="s">
        <v>127</v>
      </c>
      <c r="D180" t="s">
        <v>128</v>
      </c>
      <c r="E180" s="7">
        <f>E179*E177*0.5</f>
        <v>27.776705605979515</v>
      </c>
      <c r="F180" t="s">
        <v>133</v>
      </c>
    </row>
    <row r="181" spans="1:8" x14ac:dyDescent="0.15">
      <c r="D181" t="s">
        <v>151</v>
      </c>
      <c r="E181" s="15">
        <f>E180*60*60/1000</f>
        <v>99.996140181526272</v>
      </c>
    </row>
    <row r="182" spans="1:8" x14ac:dyDescent="0.15">
      <c r="E182" s="7"/>
    </row>
    <row r="183" spans="1:8" x14ac:dyDescent="0.15">
      <c r="A183" s="9" t="s">
        <v>152</v>
      </c>
    </row>
    <row r="184" spans="1:8" x14ac:dyDescent="0.15">
      <c r="B184" t="s">
        <v>150</v>
      </c>
      <c r="D184" s="3" t="s">
        <v>57</v>
      </c>
      <c r="E184" s="4">
        <v>100</v>
      </c>
    </row>
    <row r="185" spans="1:8" x14ac:dyDescent="0.15">
      <c r="B185" t="s">
        <v>2</v>
      </c>
      <c r="D185" s="3" t="s">
        <v>7</v>
      </c>
      <c r="E185" s="4">
        <v>0.64</v>
      </c>
    </row>
    <row r="186" spans="1:8" x14ac:dyDescent="0.15">
      <c r="B186" t="s">
        <v>55</v>
      </c>
      <c r="D186" s="3" t="s">
        <v>58</v>
      </c>
      <c r="E186" s="23">
        <f>(1000*E184/60)/(PI()*E185)</f>
        <v>828.93199527028821</v>
      </c>
    </row>
    <row r="187" spans="1:8" x14ac:dyDescent="0.15">
      <c r="B187" t="s">
        <v>55</v>
      </c>
      <c r="D187" s="3" t="s">
        <v>26</v>
      </c>
      <c r="E187" s="7">
        <f>E186/60</f>
        <v>13.815533254504803</v>
      </c>
    </row>
    <row r="188" spans="1:8" x14ac:dyDescent="0.15">
      <c r="A188" s="9"/>
      <c r="C188" s="3"/>
      <c r="D188" s="7"/>
    </row>
    <row r="189" spans="1:8" x14ac:dyDescent="0.15">
      <c r="A189" s="46"/>
      <c r="B189" s="5"/>
      <c r="C189" s="5"/>
      <c r="D189" s="5"/>
      <c r="E189" s="5"/>
      <c r="F189" s="26"/>
    </row>
    <row r="190" spans="1:8" x14ac:dyDescent="0.15">
      <c r="A190" s="5"/>
      <c r="B190" s="26"/>
      <c r="C190" s="26"/>
      <c r="D190" s="27"/>
      <c r="E190" s="5"/>
      <c r="F190" s="26"/>
    </row>
    <row r="191" spans="1:8" x14ac:dyDescent="0.15">
      <c r="H191" s="5"/>
    </row>
    <row r="192" spans="1:8" x14ac:dyDescent="0.15">
      <c r="A192" s="9" t="s">
        <v>234</v>
      </c>
      <c r="H192" s="5"/>
    </row>
    <row r="193" spans="2:8" x14ac:dyDescent="0.15">
      <c r="H193" s="5"/>
    </row>
    <row r="194" spans="2:8" x14ac:dyDescent="0.15">
      <c r="H194" s="26"/>
    </row>
    <row r="197" spans="2:8" x14ac:dyDescent="0.15">
      <c r="B197">
        <v>65</v>
      </c>
      <c r="C197" s="22">
        <f>C225</f>
        <v>209294.57364341101</v>
      </c>
      <c r="D197" s="65"/>
    </row>
    <row r="198" spans="2:8" x14ac:dyDescent="0.15">
      <c r="B198">
        <v>50</v>
      </c>
      <c r="C198" s="22">
        <f>G225</f>
        <v>366474.41860465182</v>
      </c>
      <c r="D198" s="65"/>
    </row>
    <row r="199" spans="2:8" x14ac:dyDescent="0.15">
      <c r="B199">
        <v>55</v>
      </c>
      <c r="C199" s="22">
        <f>P226</f>
        <v>298754.04255319113</v>
      </c>
      <c r="D199" s="65"/>
    </row>
    <row r="200" spans="2:8" x14ac:dyDescent="0.15">
      <c r="D200" s="65"/>
    </row>
    <row r="202" spans="2:8" ht="12.75" customHeight="1" x14ac:dyDescent="0.15">
      <c r="B202">
        <v>55</v>
      </c>
      <c r="C202" s="22">
        <v>394000</v>
      </c>
      <c r="H202" s="5"/>
    </row>
    <row r="203" spans="2:8" x14ac:dyDescent="0.15">
      <c r="H203" s="5"/>
    </row>
    <row r="204" spans="2:8" x14ac:dyDescent="0.15">
      <c r="B204">
        <v>45</v>
      </c>
      <c r="C204" s="22">
        <f>C$207*EXP(B204*D$207)</f>
        <v>437841.14974881953</v>
      </c>
      <c r="D204" t="s">
        <v>267</v>
      </c>
      <c r="H204" s="26"/>
    </row>
    <row r="205" spans="2:8" x14ac:dyDescent="0.15">
      <c r="B205">
        <v>50</v>
      </c>
      <c r="C205" s="22">
        <f>C$207*EXP(B205*D$207)</f>
        <v>363718.84771179082</v>
      </c>
      <c r="D205" t="s">
        <v>267</v>
      </c>
    </row>
    <row r="206" spans="2:8" x14ac:dyDescent="0.15">
      <c r="C206" t="s">
        <v>168</v>
      </c>
      <c r="D206" t="s">
        <v>266</v>
      </c>
    </row>
    <row r="207" spans="2:8" x14ac:dyDescent="0.15">
      <c r="C207" s="22">
        <v>2324200</v>
      </c>
      <c r="D207" s="22">
        <v>-3.7095000000000003E-2</v>
      </c>
    </row>
    <row r="211" spans="1:18" x14ac:dyDescent="0.15">
      <c r="G211" t="s">
        <v>239</v>
      </c>
    </row>
    <row r="213" spans="1:18" x14ac:dyDescent="0.15">
      <c r="A213" t="s">
        <v>92</v>
      </c>
      <c r="B213" s="8">
        <v>38659</v>
      </c>
      <c r="F213" s="8">
        <v>38669</v>
      </c>
      <c r="J213" s="8">
        <v>38669</v>
      </c>
      <c r="O213" s="8">
        <v>38674</v>
      </c>
    </row>
    <row r="214" spans="1:18" x14ac:dyDescent="0.15">
      <c r="B214" t="s">
        <v>93</v>
      </c>
      <c r="F214" t="s">
        <v>5</v>
      </c>
      <c r="J214" t="s">
        <v>5</v>
      </c>
      <c r="O214" t="s">
        <v>5</v>
      </c>
    </row>
    <row r="215" spans="1:18" x14ac:dyDescent="0.15">
      <c r="B215" t="s">
        <v>94</v>
      </c>
      <c r="F215" t="s">
        <v>115</v>
      </c>
      <c r="J215" t="s">
        <v>116</v>
      </c>
      <c r="M215" t="s">
        <v>117</v>
      </c>
      <c r="O215" t="s">
        <v>116</v>
      </c>
      <c r="R215" t="s">
        <v>141</v>
      </c>
    </row>
    <row r="216" spans="1:18" x14ac:dyDescent="0.15">
      <c r="B216" t="s">
        <v>95</v>
      </c>
      <c r="C216">
        <v>55.1</v>
      </c>
      <c r="D216" t="s">
        <v>96</v>
      </c>
      <c r="F216" t="s">
        <v>95</v>
      </c>
      <c r="G216">
        <v>60.3</v>
      </c>
      <c r="H216" t="s">
        <v>96</v>
      </c>
      <c r="J216" t="s">
        <v>95</v>
      </c>
      <c r="K216">
        <v>60.3</v>
      </c>
      <c r="L216" t="s">
        <v>96</v>
      </c>
      <c r="O216" t="s">
        <v>142</v>
      </c>
      <c r="P216">
        <v>59.7</v>
      </c>
      <c r="Q216" t="s">
        <v>96</v>
      </c>
    </row>
    <row r="217" spans="1:18" x14ac:dyDescent="0.15">
      <c r="B217" t="s">
        <v>97</v>
      </c>
      <c r="C217" t="s">
        <v>98</v>
      </c>
      <c r="D217" t="s">
        <v>102</v>
      </c>
      <c r="F217" t="s">
        <v>97</v>
      </c>
      <c r="G217" t="s">
        <v>98</v>
      </c>
      <c r="H217" t="s">
        <v>102</v>
      </c>
      <c r="J217" t="s">
        <v>97</v>
      </c>
      <c r="K217" t="s">
        <v>98</v>
      </c>
      <c r="L217" t="s">
        <v>102</v>
      </c>
      <c r="O217" t="s">
        <v>143</v>
      </c>
      <c r="P217" t="s">
        <v>98</v>
      </c>
      <c r="Q217" t="s">
        <v>144</v>
      </c>
    </row>
    <row r="218" spans="1:18" x14ac:dyDescent="0.15">
      <c r="B218">
        <v>78.599999999999994</v>
      </c>
      <c r="C218">
        <v>75.900000000000006</v>
      </c>
      <c r="F218">
        <v>74.599999999999994</v>
      </c>
      <c r="G218">
        <v>72.900000000000006</v>
      </c>
      <c r="J218">
        <v>80.400000000000006</v>
      </c>
      <c r="K218">
        <v>78.75</v>
      </c>
      <c r="O218">
        <v>41.75</v>
      </c>
      <c r="P218">
        <v>39.799999999999997</v>
      </c>
    </row>
    <row r="219" spans="1:18" x14ac:dyDescent="0.15">
      <c r="B219">
        <v>78.599999999999994</v>
      </c>
      <c r="C219">
        <v>75.5</v>
      </c>
      <c r="F219">
        <v>74.400000000000006</v>
      </c>
      <c r="G219">
        <v>73</v>
      </c>
      <c r="J219">
        <v>80</v>
      </c>
      <c r="K219">
        <v>78.55</v>
      </c>
      <c r="O219">
        <v>41.75</v>
      </c>
      <c r="P219">
        <v>39.65</v>
      </c>
    </row>
    <row r="220" spans="1:18" x14ac:dyDescent="0.15">
      <c r="B220">
        <v>78.650000000000006</v>
      </c>
      <c r="C220">
        <v>75.8</v>
      </c>
      <c r="F220">
        <v>74.25</v>
      </c>
      <c r="G220">
        <v>72.95</v>
      </c>
      <c r="J220">
        <v>80.5</v>
      </c>
      <c r="K220">
        <v>78.8</v>
      </c>
      <c r="O220">
        <v>41.2</v>
      </c>
      <c r="P220">
        <v>39.5</v>
      </c>
    </row>
    <row r="221" spans="1:18" x14ac:dyDescent="0.15">
      <c r="B221">
        <v>78.400000000000006</v>
      </c>
      <c r="C221">
        <v>75.900000000000006</v>
      </c>
      <c r="F221">
        <v>75</v>
      </c>
      <c r="J221">
        <v>80</v>
      </c>
      <c r="K221">
        <v>78.8</v>
      </c>
      <c r="O221">
        <v>41.85</v>
      </c>
      <c r="P221">
        <v>39.6</v>
      </c>
    </row>
    <row r="222" spans="1:18" x14ac:dyDescent="0.15">
      <c r="B222" s="1">
        <v>78.25</v>
      </c>
      <c r="C222">
        <v>76.5</v>
      </c>
      <c r="F222" s="1"/>
      <c r="J222" s="1"/>
      <c r="O222" s="1">
        <v>41.9</v>
      </c>
      <c r="P222">
        <v>39.700000000000003</v>
      </c>
    </row>
    <row r="223" spans="1:18" x14ac:dyDescent="0.15">
      <c r="B223">
        <f>SUM(B218:B222)/5</f>
        <v>78.5</v>
      </c>
      <c r="C223">
        <f>SUM(C218:C222)/5</f>
        <v>75.92</v>
      </c>
      <c r="D223">
        <f>(B223-C223)/1000</f>
        <v>2.5799999999999981E-3</v>
      </c>
      <c r="E223" t="s">
        <v>99</v>
      </c>
      <c r="F223">
        <f>SUM(F218:F222)/4</f>
        <v>74.5625</v>
      </c>
      <c r="G223">
        <f>SUM(G218:G222)/3</f>
        <v>72.95</v>
      </c>
      <c r="H223">
        <f>(F223-G223)/1000</f>
        <v>1.6124999999999972E-3</v>
      </c>
      <c r="J223">
        <f>SUM(J218:J222)/4</f>
        <v>80.224999999999994</v>
      </c>
      <c r="K223">
        <f>SUM(K218:K222)/4</f>
        <v>78.725000000000009</v>
      </c>
      <c r="L223">
        <f>(J223-K223)/1000</f>
        <v>1.4999999999999857E-3</v>
      </c>
      <c r="O223" s="1">
        <v>41.1</v>
      </c>
      <c r="P223" s="1">
        <v>39.549999999999997</v>
      </c>
    </row>
    <row r="224" spans="1:18" x14ac:dyDescent="0.15">
      <c r="O224">
        <f>SUM(O218:O223)/6</f>
        <v>41.591666666666669</v>
      </c>
      <c r="P224">
        <f>SUM(P218:P223)/6</f>
        <v>39.633333333333333</v>
      </c>
      <c r="Q224">
        <f>(O224-P224)/1000</f>
        <v>1.9583333333333358E-3</v>
      </c>
    </row>
    <row r="225" spans="2:17" x14ac:dyDescent="0.15">
      <c r="B225" t="s">
        <v>100</v>
      </c>
      <c r="C225" s="22">
        <f>9.8*C216/D223</f>
        <v>209294.57364341101</v>
      </c>
      <c r="D225" t="s">
        <v>101</v>
      </c>
      <c r="F225" t="s">
        <v>100</v>
      </c>
      <c r="G225" s="22">
        <f>9.8*G216/H223</f>
        <v>366474.41860465182</v>
      </c>
      <c r="H225" t="s">
        <v>101</v>
      </c>
      <c r="J225" t="s">
        <v>100</v>
      </c>
      <c r="K225" s="22">
        <f>9.8*K216/L223</f>
        <v>393960.00000000378</v>
      </c>
      <c r="L225" t="s">
        <v>101</v>
      </c>
    </row>
    <row r="226" spans="2:17" x14ac:dyDescent="0.15">
      <c r="O226" t="s">
        <v>145</v>
      </c>
      <c r="P226" s="22">
        <f>9.8*P216/Q224</f>
        <v>298754.04255319113</v>
      </c>
      <c r="Q226" t="s">
        <v>146</v>
      </c>
    </row>
    <row r="227" spans="2:17" x14ac:dyDescent="0.15">
      <c r="C227" s="13"/>
    </row>
    <row r="234" spans="2:17" x14ac:dyDescent="0.15">
      <c r="C234" s="11"/>
      <c r="D234" s="7"/>
      <c r="E234" s="7"/>
      <c r="F234" s="7"/>
    </row>
    <row r="235" spans="2:17" x14ac:dyDescent="0.15">
      <c r="B235" s="3"/>
      <c r="C235" s="3"/>
      <c r="D235" s="3"/>
      <c r="E235" s="3"/>
      <c r="F235" s="3"/>
    </row>
    <row r="236" spans="2:17" x14ac:dyDescent="0.15">
      <c r="B236" s="3"/>
      <c r="F236" s="3"/>
    </row>
    <row r="237" spans="2:17" x14ac:dyDescent="0.15">
      <c r="B237" s="3"/>
    </row>
    <row r="238" spans="2:17" x14ac:dyDescent="0.15">
      <c r="B238" s="3"/>
      <c r="C238" s="11"/>
      <c r="D238" s="7"/>
      <c r="E238" s="7"/>
      <c r="F238" s="3"/>
    </row>
    <row r="239" spans="2:17" x14ac:dyDescent="0.15">
      <c r="B239" s="3"/>
      <c r="C239" s="3"/>
      <c r="D239" s="3"/>
      <c r="E239" s="3"/>
      <c r="F239" s="3"/>
    </row>
    <row r="240" spans="2:17" x14ac:dyDescent="0.15">
      <c r="B240" s="3"/>
      <c r="C240" s="3"/>
      <c r="D240" s="54"/>
      <c r="E240" s="30"/>
      <c r="F240" s="3"/>
    </row>
    <row r="241" spans="2:6" x14ac:dyDescent="0.15">
      <c r="B241" s="3"/>
      <c r="C241" s="3"/>
      <c r="D241" s="54"/>
      <c r="E241" s="30"/>
      <c r="F241" s="3"/>
    </row>
    <row r="242" spans="2:6" x14ac:dyDescent="0.15">
      <c r="B242" s="3"/>
      <c r="C242" s="3"/>
      <c r="D242" s="3"/>
      <c r="E242" s="29"/>
      <c r="F242" s="3"/>
    </row>
    <row r="243" spans="2:6" x14ac:dyDescent="0.15">
      <c r="B243" s="3"/>
      <c r="C243" s="38"/>
      <c r="D243" s="3"/>
      <c r="E243" s="3"/>
      <c r="F243" s="3"/>
    </row>
    <row r="244" spans="2:6" x14ac:dyDescent="0.15">
      <c r="B244" s="3"/>
      <c r="C244" s="55"/>
      <c r="D244" s="3"/>
      <c r="E244" s="3"/>
      <c r="F244" s="3"/>
    </row>
    <row r="245" spans="2:6" x14ac:dyDescent="0.15">
      <c r="B245" s="3"/>
      <c r="C245" s="3"/>
      <c r="D245" s="3"/>
      <c r="E245" s="3"/>
      <c r="F245" s="3"/>
    </row>
    <row r="246" spans="2:6" x14ac:dyDescent="0.15">
      <c r="B246" s="3"/>
      <c r="C246" s="3"/>
      <c r="D246" s="3"/>
      <c r="E246" s="3"/>
      <c r="F246" s="3"/>
    </row>
    <row r="287" spans="1:5" x14ac:dyDescent="0.15">
      <c r="A287" s="3"/>
      <c r="B287" s="3"/>
      <c r="C287" s="3"/>
      <c r="D287" s="3"/>
      <c r="E287" s="31"/>
    </row>
    <row r="288" spans="1:5" x14ac:dyDescent="0.15">
      <c r="A288" s="3"/>
      <c r="B288" s="3"/>
      <c r="C288" s="3"/>
      <c r="D288" s="3"/>
      <c r="E288" s="34"/>
    </row>
    <row r="289" spans="4:5" x14ac:dyDescent="0.15">
      <c r="D289" s="3"/>
      <c r="E289" s="34"/>
    </row>
    <row r="290" spans="4:5" x14ac:dyDescent="0.15">
      <c r="D290" s="3"/>
      <c r="E290" s="26"/>
    </row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サスペンションモデルの計算 (減衰付)</vt:lpstr>
      <vt:lpstr>足回りに関する各種計算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2019-10-06T07:58:55Z</dcterms:created>
  <dcterms:modified xsi:type="dcterms:W3CDTF">2019-10-09T12:40:11Z</dcterms:modified>
</cp:coreProperties>
</file>